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drawings/drawing1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ashboard" state="visible" r:id="rId4"/>
    <sheet sheetId="2" name="Comparison Setup" state="visible" r:id="rId5"/>
    <sheet sheetId="3" name="Projection Table" state="visible" r:id="rId6"/>
    <sheet sheetId="4" name="How to Use" state="visible" r:id="rId7"/>
  </sheets>
  <calcPr calcId="171027"/>
</workbook>
</file>

<file path=xl/sharedStrings.xml><?xml version="1.0" encoding="utf-8"?>
<sst xmlns="http://schemas.openxmlformats.org/spreadsheetml/2006/main" count="106" uniqueCount="99">
  <si>
    <t>Traditional vs. Roth IRA Comparison</t>
  </si>
  <si>
    <t>Compare tax-deferred vs. tax-free growth side by side</t>
  </si>
  <si>
    <t>by FinancialAha.com</t>
  </si>
  <si>
    <t>TRADITIONAL (AFTER TAX)</t>
  </si>
  <si>
    <t>ROTH (AFTER TAX)</t>
  </si>
  <si>
    <t>value after retirement taxes</t>
  </si>
  <si>
    <t>tax-free withdrawals</t>
  </si>
  <si>
    <t>ROTH ADVANTAGE</t>
  </si>
  <si>
    <t>BREAK-EVEN TAX RATE</t>
  </si>
  <si>
    <t>Roth wins when retirement rate &lt; current rate</t>
  </si>
  <si>
    <t>retirement rate where both are equal</t>
  </si>
  <si>
    <t>AFTER-TAX VALUE COMPARISON</t>
  </si>
  <si>
    <t>Created with FinancialAha.com - Free financial tools and templates</t>
  </si>
  <si>
    <t>Get a premium spreadsheet from FinancialAha.com</t>
  </si>
  <si>
    <t/>
  </si>
  <si>
    <t>Yr 1</t>
  </si>
  <si>
    <t>Yr 3</t>
  </si>
  <si>
    <t>Yr 5</t>
  </si>
  <si>
    <t>Yr 7</t>
  </si>
  <si>
    <t>Yr 9</t>
  </si>
  <si>
    <t>Yr 11</t>
  </si>
  <si>
    <t>Yr 13</t>
  </si>
  <si>
    <t>Yr 15</t>
  </si>
  <si>
    <t>Yr 17</t>
  </si>
  <si>
    <t>Yr 19</t>
  </si>
  <si>
    <t>Yr 21</t>
  </si>
  <si>
    <t>Yr 23</t>
  </si>
  <si>
    <t>Yr 25</t>
  </si>
  <si>
    <t>Yr 27</t>
  </si>
  <si>
    <t>Yr 29</t>
  </si>
  <si>
    <t>Yr 30</t>
  </si>
  <si>
    <t>Traditional (After Tax)</t>
  </si>
  <si>
    <t>Roth (Tax-Free)</t>
  </si>
  <si>
    <t>Traditional vs. Roth Setup</t>
  </si>
  <si>
    <t>Enter your details in the yellow cells to compare Traditional and Roth IRAs.</t>
  </si>
  <si>
    <t>YOUR INPUTS</t>
  </si>
  <si>
    <t>Annual Contribution</t>
  </si>
  <si>
    <t>Amount contributed each year</t>
  </si>
  <si>
    <t>Current Marginal Tax Rate</t>
  </si>
  <si>
    <t>Your current federal tax bracket</t>
  </si>
  <si>
    <t>Expected Retirement Tax Rate</t>
  </si>
  <si>
    <t>Expected tax rate when withdrawing</t>
  </si>
  <si>
    <t>Expected Annual Return</t>
  </si>
  <si>
    <t>Average investment return</t>
  </si>
  <si>
    <t>Years to Retirement</t>
  </si>
  <si>
    <t>How many years until retirement</t>
  </si>
  <si>
    <t>COMPARISON RESULTS</t>
  </si>
  <si>
    <t>Traditional Balance (pre-tax)</t>
  </si>
  <si>
    <t>Roth Balance (tax-free)</t>
  </si>
  <si>
    <t>Traditional After Tax</t>
  </si>
  <si>
    <t>Roth After Tax</t>
  </si>
  <si>
    <t>Roth Advantage (After Tax)</t>
  </si>
  <si>
    <t>Break-Even Retirement Tax Rate</t>
  </si>
  <si>
    <t>Total Contributed</t>
  </si>
  <si>
    <t>Traditional Tax Savings (Today)</t>
  </si>
  <si>
    <t>Side-by-Side Projection</t>
  </si>
  <si>
    <t>Year-by-year comparison of Traditional and Roth IRA growth.</t>
  </si>
  <si>
    <t>Year</t>
  </si>
  <si>
    <t>Contribution</t>
  </si>
  <si>
    <t>Trad. Growth</t>
  </si>
  <si>
    <t>Trad. Balance</t>
  </si>
  <si>
    <t>Roth Balance</t>
  </si>
  <si>
    <t>Trad. After Tax</t>
  </si>
  <si>
    <t>Roth Advantage</t>
  </si>
  <si>
    <t>How to Use This Template</t>
  </si>
  <si>
    <t>Traditional vs Roth IRA Calculator by FinancialAha.com</t>
  </si>
  <si>
    <t>GETTING STARTED</t>
  </si>
  <si>
    <t>1. Go to the "Comparison Setup" sheet and enter your details in the yellow cells.</t>
  </si>
  <si>
    <t>2. Enter the Annual Contribution you plan to make to either account type.</t>
  </si>
  <si>
    <t>3. Enter your Current Marginal Tax Rate (the tax bracket you are in now).</t>
  </si>
  <si>
    <t>4. Enter your Expected Retirement Tax Rate (what you expect your bracket to be).</t>
  </si>
  <si>
    <t>5. Set the Expected Annual Return and Years to Retirement.</t>
  </si>
  <si>
    <t>TRADITIONAL VS. ROTH - KEY DIFFERENCES</t>
  </si>
  <si>
    <t>Traditional IRA: Contributions may be tax-deductible now. You pay taxes when you withdraw.</t>
  </si>
  <si>
    <t>Roth IRA: Contributions are made with after-tax money. Withdrawals are tax-free.</t>
  </si>
  <si>
    <t>Both accounts grow tax-free while invested - the difference is when you pay taxes.</t>
  </si>
  <si>
    <t>If your tax rate drops in retirement, Traditional may win (you defer high taxes to pay lower).</t>
  </si>
  <si>
    <t>If your tax rate stays the same or rises, Roth wins (pay taxes now at the lower rate).</t>
  </si>
  <si>
    <t>UNDERSTANDING THE RESULTS</t>
  </si>
  <si>
    <t>Traditional Balance shows the pre-tax account value (you still owe taxes on withdrawal).</t>
  </si>
  <si>
    <t>Roth Balance shows the actual spendable amount (no taxes owed).</t>
  </si>
  <si>
    <t>After-Tax values are the fair comparison - what you actually get to spend.</t>
  </si>
  <si>
    <t>Roth Advantage shows how much more (or less) the Roth gives you after taxes.</t>
  </si>
  <si>
    <t>Break-Even Rate is the retirement tax rate where both options give the same result.</t>
  </si>
  <si>
    <t>IMPORTANT CONSIDERATIONS</t>
  </si>
  <si>
    <t>This comparison assumes equal contribution amounts to both account types.</t>
  </si>
  <si>
    <t>In reality, a Traditional IRA gives you tax savings today that you could invest elsewhere.</t>
  </si>
  <si>
    <t>Income limits may affect your eligibility for Roth IRA contributions.</t>
  </si>
  <si>
    <t>Traditional IRA deductions may be limited if you have a workplace retirement plan.</t>
  </si>
  <si>
    <t>Consider consulting a tax professional for your specific situation.</t>
  </si>
  <si>
    <t>TIPS</t>
  </si>
  <si>
    <t>Try different retirement tax rates to see how sensitive the comparison is.</t>
  </si>
  <si>
    <t>If you expect your income (and tax rate) to increase, Roth often looks more favorable.</t>
  </si>
  <si>
    <t>Many people benefit from having both Traditional and Roth accounts for tax diversification.</t>
  </si>
  <si>
    <t>The longer the time horizon, the more valuable tax-free growth becomes.</t>
  </si>
  <si>
    <t>COMPATIBILITY</t>
  </si>
  <si>
    <t>This template works in Microsoft Excel, Google Sheets, and LibreOffice Calc.</t>
  </si>
  <si>
    <t>No macros or VBA required - everything is formula-driven.</t>
  </si>
  <si>
    <t>Yellow cells are editable inputs. Green cells contain formulas - avoid overwriting them.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</si>
</sst>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"/>
    <numFmt numFmtId="165" formatCode="0.0%"/>
  </numFmts>
  <fonts count="19" x14ac:knownFonts="1">
    <font>
      <color theme="1"/>
      <family val="2"/>
      <scheme val="minor"/>
      <sz val="11"/>
      <name val="Calibri"/>
    </font>
    <font>
      <b/>
      <color rgb="14213D"/>
      <sz val="24"/>
      <name val="Aptos"/>
    </font>
    <font>
      <color rgb="4A4F5E"/>
      <sz val="11"/>
      <name val="Aptos"/>
    </font>
    <font>
      <i/>
      <u/>
      <color rgb="9A7B4F"/>
      <sz val="9"/>
      <name val="Aptos"/>
    </font>
    <font>
      <b/>
      <color rgb="A3A9B8"/>
      <sz val="9"/>
      <name val="Aptos"/>
    </font>
    <font>
      <b/>
      <color rgb="1A1D26"/>
      <sz val="20"/>
      <name val="Aptos"/>
    </font>
    <font>
      <b/>
      <color rgb="9A7B4F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b/>
      <color rgb="14213D"/>
      <sz val="22"/>
      <name val="Aptos"/>
    </font>
    <font>
      <i/>
      <color rgb="7C8494"/>
      <sz val="9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b/>
      <color rgb="FFFFFF"/>
      <sz val="10"/>
      <name val="Aptos"/>
    </font>
    <font>
      <color rgb="4A4F5E"/>
      <sz val="10"/>
      <name val="Aptos"/>
    </font>
  </fonts>
  <fills count="6">
    <fill>
      <patternFill patternType="none"/>
    </fill>
    <fill>
      <patternFill patternType="gray125"/>
    </fill>
    <fill>
      <patternFill patternType="solid">
        <fgColor rgb="FFFCF4"/>
      </patternFill>
    </fill>
    <fill>
      <patternFill patternType="solid">
        <fgColor rgb="EEF0F7"/>
      </patternFill>
    </fill>
    <fill>
      <patternFill patternType="solid">
        <fgColor rgb="14213D"/>
      </patternFill>
    </fill>
    <fill>
      <patternFill patternType="solid">
        <fgColor rgb="F4F5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/>
      <bottom style="thin">
        <color rgb="E8EAF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bottom"/>
    </xf>
    <xf numFmtId="164" fontId="5" fillId="0" borderId="2" xfId="0" applyNumberFormat="1" applyFont="1" applyBorder="1" applyAlignment="1" applyProtection="1">
      <alignment horizontal="center" vertical="center"/>
    </xf>
    <xf numFmtId="164" fontId="6" fillId="0" borderId="2" xfId="0" applyNumberFormat="1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top"/>
    </xf>
    <xf numFmtId="165" fontId="5" fillId="0" borderId="2" xfId="0" applyNumberFormat="1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9" fillId="0" borderId="0" xfId="0" applyFont="1" applyAlignment="1" applyProtection="1">
      <alignment horizontal="left" vertical="center" indent="1"/>
    </xf>
    <xf numFmtId="0" fontId="10" fillId="0" borderId="0" xfId="0" applyFont="1" applyAlignment="1" applyProtection="1">
      <alignment horizontal="left" vertical="center" indent="1"/>
    </xf>
    <xf numFmtId="0" fontId="11" fillId="0" borderId="0" xfId="0" applyFont="1" applyProtection="1"/>
    <xf numFmtId="0" fontId="12" fillId="0" borderId="0" xfId="0" applyFont="1" applyAlignment="1" applyProtection="1">
      <alignment horizontal="left" vertical="center" indent="1"/>
    </xf>
    <xf numFmtId="0" fontId="13" fillId="0" borderId="0" xfId="0" applyFont="1" applyAlignment="1" applyProtection="1">
      <alignment horizontal="left" vertical="center" wrapText="1" indent="1"/>
    </xf>
    <xf numFmtId="0" fontId="14" fillId="0" borderId="0" xfId="0" applyFont="1" applyAlignment="1" applyProtection="1">
      <alignment horizontal="left" vertical="center" indent="1"/>
    </xf>
    <xf numFmtId="164" fontId="15" fillId="2" borderId="5" xfId="0" applyNumberFormat="1" applyFont="1" applyFill="1" applyBorder="1" applyAlignment="1" applyProtection="1">
      <alignment horizontal="right" vertical="center"/>
      <protection locked="0"/>
    </xf>
    <xf numFmtId="9" fontId="15" fillId="2" borderId="5" xfId="0" applyNumberFormat="1" applyFont="1" applyFill="1" applyBorder="1" applyAlignment="1" applyProtection="1">
      <alignment horizontal="right" vertical="center"/>
      <protection locked="0"/>
    </xf>
    <xf numFmtId="10" fontId="15" fillId="2" borderId="5" xfId="0" applyNumberFormat="1" applyFont="1" applyFill="1" applyBorder="1" applyAlignment="1" applyProtection="1">
      <alignment horizontal="right" vertical="center"/>
      <protection locked="0"/>
    </xf>
    <xf numFmtId="3" fontId="15" fillId="2" borderId="5" xfId="0" applyNumberFormat="1" applyFont="1" applyFill="1" applyBorder="1" applyAlignment="1" applyProtection="1">
      <alignment horizontal="right" vertical="center"/>
      <protection locked="0"/>
    </xf>
    <xf numFmtId="164" fontId="16" fillId="3" borderId="6" xfId="0" applyNumberFormat="1" applyFont="1" applyFill="1" applyBorder="1" applyAlignment="1" applyProtection="1">
      <alignment horizontal="right" vertical="center"/>
    </xf>
    <xf numFmtId="165" fontId="16" fillId="3" borderId="6" xfId="0" applyNumberFormat="1" applyFont="1" applyFill="1" applyBorder="1" applyAlignment="1" applyProtection="1">
      <alignment horizontal="right" vertical="center"/>
    </xf>
    <xf numFmtId="0" fontId="17" fillId="4" borderId="0" xfId="0" applyFont="1" applyFill="1" applyAlignment="1" applyProtection="1">
      <alignment horizontal="left" vertical="center" wrapText="1" indent="1"/>
    </xf>
    <xf numFmtId="0" fontId="17" fillId="4" borderId="0" xfId="0" applyFont="1" applyFill="1" applyAlignment="1" applyProtection="1">
      <alignment horizontal="center" vertical="center" wrapText="1"/>
    </xf>
    <xf numFmtId="0" fontId="15" fillId="0" borderId="7" xfId="0" applyFont="1" applyBorder="1" applyAlignment="1" applyProtection="1">
      <alignment vertical="center" indent="1"/>
    </xf>
    <xf numFmtId="164" fontId="15" fillId="0" borderId="7" xfId="0" applyNumberFormat="1" applyFont="1" applyBorder="1" applyAlignment="1" applyProtection="1">
      <alignment horizontal="right" vertical="center"/>
    </xf>
    <xf numFmtId="0" fontId="15" fillId="5" borderId="7" xfId="0" applyFont="1" applyFill="1" applyBorder="1" applyAlignment="1" applyProtection="1">
      <alignment vertical="center" indent="1"/>
    </xf>
    <xf numFmtId="164" fontId="15" fillId="5" borderId="7" xfId="0" applyNumberFormat="1" applyFont="1" applyFill="1" applyBorder="1" applyAlignment="1" applyProtection="1">
      <alignment horizontal="right" vertical="center"/>
    </xf>
    <xf numFmtId="0" fontId="12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After-Tax Value: Traditional vs. Roth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Dashboard!$B$33</c:f>
              <c:strCache>
                <c:ptCount val="1"/>
                <c:pt idx="0">
                  <c:v>Traditional (After Tax)</c:v>
                </c:pt>
              </c:strCache>
            </c:strRef>
          </c:tx>
          <c:spPr>
            <a:solidFill>
              <a:srgbClr val="C27D38"/>
            </a:solidFill>
            <a:ln>
              <a:noFill/>
            </a:ln>
          </c:spPr>
          <c:cat>
            <c:strRef>
              <c:f>Dashboard!$C$32:$R$32</c:f>
              <c:strCache>
                <c:ptCount val="16"/>
                <c:pt idx="0">
                  <c:v>Yr 1</c:v>
                </c:pt>
                <c:pt idx="1">
                  <c:v>Yr 3</c:v>
                </c:pt>
                <c:pt idx="2">
                  <c:v>Yr 5</c:v>
                </c:pt>
                <c:pt idx="3">
                  <c:v>Yr 7</c:v>
                </c:pt>
                <c:pt idx="4">
                  <c:v>Yr 9</c:v>
                </c:pt>
                <c:pt idx="5">
                  <c:v>Yr 11</c:v>
                </c:pt>
                <c:pt idx="6">
                  <c:v>Yr 13</c:v>
                </c:pt>
                <c:pt idx="7">
                  <c:v>Yr 15</c:v>
                </c:pt>
                <c:pt idx="8">
                  <c:v>Yr 17</c:v>
                </c:pt>
                <c:pt idx="9">
                  <c:v>Yr 19</c:v>
                </c:pt>
                <c:pt idx="10">
                  <c:v>Yr 21</c:v>
                </c:pt>
                <c:pt idx="11">
                  <c:v>Yr 23</c:v>
                </c:pt>
                <c:pt idx="12">
                  <c:v>Yr 25</c:v>
                </c:pt>
                <c:pt idx="13">
                  <c:v>Yr 27</c:v>
                </c:pt>
                <c:pt idx="14">
                  <c:v>Yr 29</c:v>
                </c:pt>
                <c:pt idx="15">
                  <c:v>Yr 30</c:v>
                </c:pt>
              </c:strCache>
            </c:strRef>
          </c:cat>
          <c:val>
            <c:numRef>
              <c:f>Dashboard!$C$33:$R$33</c:f>
              <c:numCache>
                <c:formatCode>$#,##0</c:formatCode>
                <c:ptCount val="16"/>
                <c:pt idx="0">
                  <c:v>5070</c:v>
                </c:pt>
                <c:pt idx="1">
                  <c:v>16300</c:v>
                </c:pt>
                <c:pt idx="2">
                  <c:v>29156</c:v>
                </c:pt>
                <c:pt idx="3">
                  <c:v>43876</c:v>
                </c:pt>
                <c:pt idx="4">
                  <c:v>60728</c:v>
                </c:pt>
                <c:pt idx="5">
                  <c:v>80023</c:v>
                </c:pt>
                <c:pt idx="6">
                  <c:v>102113</c:v>
                </c:pt>
                <c:pt idx="7">
                  <c:v>127404</c:v>
                </c:pt>
                <c:pt idx="8">
                  <c:v>156360</c:v>
                </c:pt>
                <c:pt idx="9">
                  <c:v>189511</c:v>
                </c:pt>
                <c:pt idx="10">
                  <c:v>227466</c:v>
                </c:pt>
                <c:pt idx="11">
                  <c:v>270921</c:v>
                </c:pt>
                <c:pt idx="12">
                  <c:v>320673</c:v>
                </c:pt>
                <c:pt idx="13">
                  <c:v>377633</c:v>
                </c:pt>
                <c:pt idx="14">
                  <c:v>442847</c:v>
                </c:pt>
                <c:pt idx="15">
                  <c:v>478916</c:v>
                </c:pt>
              </c:numCache>
            </c:numRef>
          </c:val>
        </c:ser>
        <c:ser>
          <c:idx val="1"/>
          <c:order val="1"/>
          <c:tx>
            <c:strRef>
              <c:f>Dashboard!$B$34</c:f>
              <c:strCache>
                <c:ptCount val="1"/>
                <c:pt idx="0">
                  <c:v>Roth (Tax-Free)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Dashboard!$C$32:$R$32</c:f>
              <c:strCache>
                <c:ptCount val="16"/>
                <c:pt idx="0">
                  <c:v>Yr 1</c:v>
                </c:pt>
                <c:pt idx="1">
                  <c:v>Yr 3</c:v>
                </c:pt>
                <c:pt idx="2">
                  <c:v>Yr 5</c:v>
                </c:pt>
                <c:pt idx="3">
                  <c:v>Yr 7</c:v>
                </c:pt>
                <c:pt idx="4">
                  <c:v>Yr 9</c:v>
                </c:pt>
                <c:pt idx="5">
                  <c:v>Yr 11</c:v>
                </c:pt>
                <c:pt idx="6">
                  <c:v>Yr 13</c:v>
                </c:pt>
                <c:pt idx="7">
                  <c:v>Yr 15</c:v>
                </c:pt>
                <c:pt idx="8">
                  <c:v>Yr 17</c:v>
                </c:pt>
                <c:pt idx="9">
                  <c:v>Yr 19</c:v>
                </c:pt>
                <c:pt idx="10">
                  <c:v>Yr 21</c:v>
                </c:pt>
                <c:pt idx="11">
                  <c:v>Yr 23</c:v>
                </c:pt>
                <c:pt idx="12">
                  <c:v>Yr 25</c:v>
                </c:pt>
                <c:pt idx="13">
                  <c:v>Yr 27</c:v>
                </c:pt>
                <c:pt idx="14">
                  <c:v>Yr 29</c:v>
                </c:pt>
                <c:pt idx="15">
                  <c:v>Yr 30</c:v>
                </c:pt>
              </c:strCache>
            </c:strRef>
          </c:cat>
          <c:val>
            <c:numRef>
              <c:f>Dashboard!$C$34:$R$34</c:f>
              <c:numCache>
                <c:formatCode>$#,##0</c:formatCode>
                <c:ptCount val="16"/>
                <c:pt idx="0">
                  <c:v>6500</c:v>
                </c:pt>
                <c:pt idx="1">
                  <c:v>20897</c:v>
                </c:pt>
                <c:pt idx="2">
                  <c:v>37380</c:v>
                </c:pt>
                <c:pt idx="3">
                  <c:v>56251</c:v>
                </c:pt>
                <c:pt idx="4">
                  <c:v>77857</c:v>
                </c:pt>
                <c:pt idx="5">
                  <c:v>102593</c:v>
                </c:pt>
                <c:pt idx="6">
                  <c:v>130914</c:v>
                </c:pt>
                <c:pt idx="7">
                  <c:v>163339</c:v>
                </c:pt>
                <c:pt idx="8">
                  <c:v>200461</c:v>
                </c:pt>
                <c:pt idx="9">
                  <c:v>242963</c:v>
                </c:pt>
                <c:pt idx="10">
                  <c:v>291624</c:v>
                </c:pt>
                <c:pt idx="11">
                  <c:v>347335</c:v>
                </c:pt>
                <c:pt idx="12">
                  <c:v>411119</c:v>
                </c:pt>
                <c:pt idx="13">
                  <c:v>484145</c:v>
                </c:pt>
                <c:pt idx="14">
                  <c:v>567752</c:v>
                </c:pt>
                <c:pt idx="15">
                  <c:v>613995</c:v>
                </c:pt>
              </c:numCache>
            </c:numRef>
          </c:val>
        </c:ser>
        <c:axId val="111111111"/>
        <c:axId val="222222222"/>
      </c:line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9</xdr:col>
      <xdr:colOff>0</xdr:colOff>
      <xdr:row>30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?ref=excel-free" TargetMode="External"/><Relationship Id="rId2" Type="http://schemas.openxmlformats.org/officeDocument/2006/relationships/hyperlink" Target="https://www.financialaha.com/spreadsheet-templates/?ref=excel-free" TargetMode="External"/><Relationship Id="rIdDrawing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R34"/>
  <sheetViews>
    <sheetView workbookViewId="0" showGridLines="0" zoomScale="125"/>
  </sheetViews>
  <sheetFormatPr defaultRowHeight="15" outlineLevelRow="0" outlineLevelCol="0" x14ac:dyDescent="55"/>
  <cols>
    <col min="1" max="1" width="2" customWidth="1"/>
    <col min="2" max="9" width="14" customWidth="1"/>
    <col min="10" max="10" width="2" customWidth="1"/>
  </cols>
  <sheetData>
    <row r="1" ht="56" customHeight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ht="20" customHeight="1" spans="2:9" x14ac:dyDescent="0.25">
      <c r="B2" s="2" t="s">
        <v>1</v>
      </c>
      <c r="C2" s="2"/>
      <c r="D2" s="2"/>
      <c r="E2" s="2"/>
      <c r="F2" s="2"/>
      <c r="G2" s="3" t="s">
        <v>2</v>
      </c>
      <c r="H2" s="3"/>
      <c r="I2" s="3"/>
    </row>
    <row r="3" ht="10" customHeight="1" x14ac:dyDescent="0.25"/>
    <row r="4" ht="22" customHeight="1" spans="2:8" x14ac:dyDescent="0.25">
      <c r="B4" s="4" t="s">
        <v>3</v>
      </c>
      <c r="C4" s="4"/>
      <c r="D4" s="4"/>
      <c r="F4" s="4" t="s">
        <v>4</v>
      </c>
      <c r="G4" s="4"/>
      <c r="H4" s="4"/>
    </row>
    <row r="5" ht="48" customHeight="1" spans="2:8" x14ac:dyDescent="0.25">
      <c r="B5" s="5">
        <f>'Comparison Setup'!C14</f>
        <v>478916</v>
      </c>
      <c r="C5" s="5"/>
      <c r="D5" s="5"/>
      <c r="F5" s="6">
        <f>'Comparison Setup'!C15</f>
        <v>613995</v>
      </c>
      <c r="G5" s="6"/>
      <c r="H5" s="6"/>
    </row>
    <row r="6" ht="20" customHeight="1" spans="2:8" x14ac:dyDescent="0.25">
      <c r="B6" s="7" t="s">
        <v>5</v>
      </c>
      <c r="C6" s="7"/>
      <c r="D6" s="7"/>
      <c r="F6" s="7" t="s">
        <v>6</v>
      </c>
      <c r="G6" s="7"/>
      <c r="H6" s="7"/>
    </row>
    <row r="7" ht="8" customHeight="1" x14ac:dyDescent="0.25"/>
    <row r="8" ht="22" customHeight="1" spans="2:8" x14ac:dyDescent="0.25">
      <c r="B8" s="4" t="s">
        <v>7</v>
      </c>
      <c r="C8" s="4"/>
      <c r="D8" s="4"/>
      <c r="F8" s="4" t="s">
        <v>8</v>
      </c>
      <c r="G8" s="4"/>
      <c r="H8" s="4"/>
    </row>
    <row r="9" ht="48" customHeight="1" spans="2:8" x14ac:dyDescent="0.25">
      <c r="B9" s="6">
        <f>'Comparison Setup'!C16</f>
        <v>135079</v>
      </c>
      <c r="C9" s="6"/>
      <c r="D9" s="6"/>
      <c r="F9" s="8">
        <f>'Comparison Setup'!C17</f>
        <v>0.24</v>
      </c>
      <c r="G9" s="8"/>
      <c r="H9" s="8"/>
    </row>
    <row r="10" ht="20" customHeight="1" spans="2:8" x14ac:dyDescent="0.25">
      <c r="B10" s="7" t="s">
        <v>9</v>
      </c>
      <c r="C10" s="7"/>
      <c r="D10" s="7"/>
      <c r="F10" s="7" t="s">
        <v>10</v>
      </c>
      <c r="G10" s="7"/>
      <c r="H10" s="7"/>
    </row>
    <row r="11" ht="14" customHeight="1" x14ac:dyDescent="0.25"/>
    <row r="12" ht="28" customHeight="1" spans="2:9" x14ac:dyDescent="0.25">
      <c r="B12" s="9" t="s">
        <v>11</v>
      </c>
      <c r="C12" s="10"/>
      <c r="D12" s="10"/>
      <c r="E12" s="10"/>
      <c r="F12" s="10"/>
      <c r="G12" s="10"/>
      <c r="H12" s="10"/>
      <c r="I12" s="10"/>
    </row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4" customHeight="1" x14ac:dyDescent="0.25"/>
    <row r="29" ht="6" customHeight="1" x14ac:dyDescent="0.25"/>
    <row r="30" ht="20" customHeight="1" spans="1:9" x14ac:dyDescent="0.25">
      <c r="A30" s="11" t="s">
        <v>12</v>
      </c>
      <c r="B30" s="11"/>
      <c r="C30" s="11"/>
      <c r="D30" s="11"/>
      <c r="E30" s="11"/>
      <c r="F30" s="11"/>
      <c r="G30" s="11"/>
      <c r="H30" s="11"/>
      <c r="I30" s="11"/>
    </row>
    <row r="31" ht="20" customHeight="1" spans="1:9" x14ac:dyDescent="0.25">
      <c r="A31" s="12" t="s">
        <v>13</v>
      </c>
      <c r="B31" s="12"/>
      <c r="C31" s="12"/>
      <c r="D31" s="12"/>
      <c r="E31" s="12"/>
      <c r="F31" s="12"/>
      <c r="G31" s="12"/>
      <c r="H31" s="12"/>
      <c r="I31" s="12"/>
    </row>
    <row r="32" ht="1" customHeight="1" spans="2:18" x14ac:dyDescent="0.25">
      <c r="B32" s="13" t="s">
        <v>14</v>
      </c>
      <c r="C32" s="13" t="s">
        <v>15</v>
      </c>
      <c r="D32" s="13" t="s">
        <v>16</v>
      </c>
      <c r="E32" s="13" t="s">
        <v>17</v>
      </c>
      <c r="F32" s="13" t="s">
        <v>18</v>
      </c>
      <c r="G32" s="13" t="s">
        <v>19</v>
      </c>
      <c r="H32" s="13" t="s">
        <v>20</v>
      </c>
      <c r="I32" s="13" t="s">
        <v>21</v>
      </c>
      <c r="J32" s="13" t="s">
        <v>22</v>
      </c>
      <c r="K32" s="13" t="s">
        <v>23</v>
      </c>
      <c r="L32" s="13" t="s">
        <v>24</v>
      </c>
      <c r="M32" s="13" t="s">
        <v>25</v>
      </c>
      <c r="N32" s="13" t="s">
        <v>26</v>
      </c>
      <c r="O32" s="13" t="s">
        <v>27</v>
      </c>
      <c r="P32" s="13" t="s">
        <v>28</v>
      </c>
      <c r="Q32" s="13" t="s">
        <v>29</v>
      </c>
      <c r="R32" s="13" t="s">
        <v>30</v>
      </c>
    </row>
    <row r="33" ht="1" customHeight="1" spans="2:18" x14ac:dyDescent="0.25">
      <c r="B33" s="13" t="s">
        <v>31</v>
      </c>
      <c r="C33" s="13">
        <f>IFERROR('Projection Table'!D5*(1-'Comparison Setup'!C7),0)</f>
        <v>5070</v>
      </c>
      <c r="D33" s="13">
        <f>IFERROR('Projection Table'!D7*(1-'Comparison Setup'!C7),0)</f>
        <v>16300</v>
      </c>
      <c r="E33" s="13">
        <f>IFERROR('Projection Table'!D9*(1-'Comparison Setup'!C7),0)</f>
        <v>29156</v>
      </c>
      <c r="F33" s="13">
        <f>IFERROR('Projection Table'!D11*(1-'Comparison Setup'!C7),0)</f>
        <v>43876</v>
      </c>
      <c r="G33" s="13">
        <f>IFERROR('Projection Table'!D13*(1-'Comparison Setup'!C7),0)</f>
        <v>60728</v>
      </c>
      <c r="H33" s="13">
        <f>IFERROR('Projection Table'!D15*(1-'Comparison Setup'!C7),0)</f>
        <v>80023</v>
      </c>
      <c r="I33" s="13">
        <f>IFERROR('Projection Table'!D17*(1-'Comparison Setup'!C7),0)</f>
        <v>102113</v>
      </c>
      <c r="J33" s="13">
        <f>IFERROR('Projection Table'!D19*(1-'Comparison Setup'!C7),0)</f>
        <v>127404</v>
      </c>
      <c r="K33" s="13">
        <f>IFERROR('Projection Table'!D21*(1-'Comparison Setup'!C7),0)</f>
        <v>156360</v>
      </c>
      <c r="L33" s="13">
        <f>IFERROR('Projection Table'!D23*(1-'Comparison Setup'!C7),0)</f>
        <v>189511</v>
      </c>
      <c r="M33" s="13">
        <f>IFERROR('Projection Table'!D25*(1-'Comparison Setup'!C7),0)</f>
        <v>227466</v>
      </c>
      <c r="N33" s="13">
        <f>IFERROR('Projection Table'!D27*(1-'Comparison Setup'!C7),0)</f>
        <v>270921</v>
      </c>
      <c r="O33" s="13">
        <f>IFERROR('Projection Table'!D29*(1-'Comparison Setup'!C7),0)</f>
        <v>320673</v>
      </c>
      <c r="P33" s="13">
        <f>IFERROR('Projection Table'!D31*(1-'Comparison Setup'!C7),0)</f>
        <v>377633</v>
      </c>
      <c r="Q33" s="13">
        <f>IFERROR('Projection Table'!D33*(1-'Comparison Setup'!C7),0)</f>
        <v>442847</v>
      </c>
      <c r="R33" s="13">
        <f>IFERROR('Projection Table'!D34*(1-'Comparison Setup'!C7),0)</f>
        <v>478916</v>
      </c>
    </row>
    <row r="34" ht="1" customHeight="1" spans="2:18" x14ac:dyDescent="0.25">
      <c r="B34" s="13" t="s">
        <v>32</v>
      </c>
      <c r="C34" s="13">
        <f>IFERROR('Projection Table'!E5,0)</f>
        <v>6500</v>
      </c>
      <c r="D34" s="13">
        <f>IFERROR('Projection Table'!E7,0)</f>
        <v>20897</v>
      </c>
      <c r="E34" s="13">
        <f>IFERROR('Projection Table'!E9,0)</f>
        <v>37380</v>
      </c>
      <c r="F34" s="13">
        <f>IFERROR('Projection Table'!E11,0)</f>
        <v>56251</v>
      </c>
      <c r="G34" s="13">
        <f>IFERROR('Projection Table'!E13,0)</f>
        <v>77857</v>
      </c>
      <c r="H34" s="13">
        <f>IFERROR('Projection Table'!E15,0)</f>
        <v>102593</v>
      </c>
      <c r="I34" s="13">
        <f>IFERROR('Projection Table'!E17,0)</f>
        <v>130914</v>
      </c>
      <c r="J34" s="13">
        <f>IFERROR('Projection Table'!E19,0)</f>
        <v>163339</v>
      </c>
      <c r="K34" s="13">
        <f>IFERROR('Projection Table'!E21,0)</f>
        <v>200461</v>
      </c>
      <c r="L34" s="13">
        <f>IFERROR('Projection Table'!E23,0)</f>
        <v>242963</v>
      </c>
      <c r="M34" s="13">
        <f>IFERROR('Projection Table'!E25,0)</f>
        <v>291624</v>
      </c>
      <c r="N34" s="13">
        <f>IFERROR('Projection Table'!E27,0)</f>
        <v>347335</v>
      </c>
      <c r="O34" s="13">
        <f>IFERROR('Projection Table'!E29,0)</f>
        <v>411119</v>
      </c>
      <c r="P34" s="13">
        <f>IFERROR('Projection Table'!E31,0)</f>
        <v>484145</v>
      </c>
      <c r="Q34" s="13">
        <f>IFERROR('Projection Table'!E33,0)</f>
        <v>567752</v>
      </c>
      <c r="R34" s="13">
        <f>IFERROR('Projection Table'!E34,0)</f>
        <v>613995</v>
      </c>
    </row>
  </sheetData>
  <sheetProtection sheet="1"/>
  <mergeCells count="17">
    <mergeCell ref="B1:I1"/>
    <mergeCell ref="B2:F2"/>
    <mergeCell ref="G2:I2"/>
    <mergeCell ref="B4:D4"/>
    <mergeCell ref="F4:H4"/>
    <mergeCell ref="B5:D5"/>
    <mergeCell ref="F5:H5"/>
    <mergeCell ref="B6:D6"/>
    <mergeCell ref="F6:H6"/>
    <mergeCell ref="B8:D8"/>
    <mergeCell ref="F8:H8"/>
    <mergeCell ref="B9:D9"/>
    <mergeCell ref="F9:H9"/>
    <mergeCell ref="B10:D10"/>
    <mergeCell ref="F10:H10"/>
    <mergeCell ref="A30:I30"/>
    <mergeCell ref="A31:I31"/>
  </mergeCells>
  <hyperlinks>
    <hyperlink ref="G2" r:id="rId1"/>
    <hyperlink ref="A31" r:id="rId2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D23"/>
  <sheetViews>
    <sheetView workbookViewId="0" showGridLines="0" zoomScale="125"/>
  </sheetViews>
  <sheetFormatPr defaultRowHeight="15" outlineLevelRow="0" outlineLevelCol="0" x14ac:dyDescent="55"/>
  <cols>
    <col min="1" max="1" width="34" customWidth="1"/>
    <col min="2" max="2" width="5" customWidth="1"/>
    <col min="3" max="3" width="20" customWidth="1"/>
    <col min="4" max="4" width="30" customWidth="1"/>
  </cols>
  <sheetData>
    <row r="1" ht="48" customHeight="1" spans="1:4" x14ac:dyDescent="0.25">
      <c r="A1" s="14" t="s">
        <v>33</v>
      </c>
      <c r="B1" s="14"/>
      <c r="C1" s="14"/>
      <c r="D1" s="14"/>
    </row>
    <row r="2" ht="24" customHeight="1" spans="1:4" x14ac:dyDescent="0.25">
      <c r="A2" s="15" t="s">
        <v>34</v>
      </c>
      <c r="B2" s="15"/>
      <c r="C2" s="15"/>
      <c r="D2" s="15"/>
    </row>
    <row r="3" ht="14" customHeight="1" x14ac:dyDescent="0.25"/>
    <row r="4" ht="28" customHeight="1" spans="1:4" x14ac:dyDescent="0.25">
      <c r="A4" s="9" t="s">
        <v>35</v>
      </c>
      <c r="B4" s="10"/>
      <c r="C4" s="10"/>
      <c r="D4" s="10"/>
    </row>
    <row r="5" ht="26" customHeight="1" spans="1:4" x14ac:dyDescent="0.25">
      <c r="A5" s="16" t="s">
        <v>36</v>
      </c>
      <c r="C5" s="17">
        <v>6500</v>
      </c>
      <c r="D5" s="15" t="s">
        <v>37</v>
      </c>
    </row>
    <row r="6" ht="26" customHeight="1" spans="1:4" x14ac:dyDescent="0.25">
      <c r="A6" s="16" t="s">
        <v>38</v>
      </c>
      <c r="C6" s="18">
        <v>0.24</v>
      </c>
      <c r="D6" s="15" t="s">
        <v>39</v>
      </c>
    </row>
    <row r="7" ht="26" customHeight="1" spans="1:4" x14ac:dyDescent="0.25">
      <c r="A7" s="16" t="s">
        <v>40</v>
      </c>
      <c r="C7" s="18">
        <v>0.22</v>
      </c>
      <c r="D7" s="15" t="s">
        <v>41</v>
      </c>
    </row>
    <row r="8" ht="26" customHeight="1" spans="1:4" x14ac:dyDescent="0.25">
      <c r="A8" s="16" t="s">
        <v>42</v>
      </c>
      <c r="C8" s="19">
        <v>0.07</v>
      </c>
      <c r="D8" s="15" t="s">
        <v>43</v>
      </c>
    </row>
    <row r="9" ht="26" customHeight="1" spans="1:4" x14ac:dyDescent="0.25">
      <c r="A9" s="16" t="s">
        <v>44</v>
      </c>
      <c r="C9" s="20">
        <v>30</v>
      </c>
      <c r="D9" s="15" t="s">
        <v>45</v>
      </c>
    </row>
    <row r="10" ht="14" customHeight="1" x14ac:dyDescent="0.25"/>
    <row r="11" ht="28" customHeight="1" spans="1:4" x14ac:dyDescent="0.25">
      <c r="A11" s="9" t="s">
        <v>46</v>
      </c>
      <c r="B11" s="10"/>
      <c r="C11" s="10"/>
      <c r="D11" s="10"/>
    </row>
    <row r="12" ht="26" customHeight="1" spans="1:3" x14ac:dyDescent="0.25">
      <c r="A12" s="16" t="s">
        <v>47</v>
      </c>
      <c r="C12" s="21">
        <f>IFERROR(INDEX('Projection Table'!D:D,5+C9-1),0)</f>
        <v>613995</v>
      </c>
    </row>
    <row r="13" ht="26" customHeight="1" spans="1:3" x14ac:dyDescent="0.25">
      <c r="A13" s="16" t="s">
        <v>48</v>
      </c>
      <c r="C13" s="21">
        <f>IFERROR(INDEX('Projection Table'!E:E,5+C9-1),0)</f>
        <v>613995</v>
      </c>
    </row>
    <row r="14" ht="26" customHeight="1" spans="1:3" x14ac:dyDescent="0.25">
      <c r="A14" s="16" t="s">
        <v>49</v>
      </c>
      <c r="C14" s="21">
        <f>C12*(1-C7)</f>
        <v>478916</v>
      </c>
    </row>
    <row r="15" ht="26" customHeight="1" spans="1:3" x14ac:dyDescent="0.25">
      <c r="A15" s="16" t="s">
        <v>50</v>
      </c>
      <c r="C15" s="21">
        <f>C13</f>
        <v>613995</v>
      </c>
    </row>
    <row r="16" ht="26" customHeight="1" spans="1:3" x14ac:dyDescent="0.25">
      <c r="A16" s="16" t="s">
        <v>51</v>
      </c>
      <c r="C16" s="21">
        <f>C15-C14</f>
        <v>135079</v>
      </c>
    </row>
    <row r="17" ht="26" customHeight="1" spans="1:3" x14ac:dyDescent="0.25">
      <c r="A17" s="16" t="s">
        <v>52</v>
      </c>
      <c r="C17" s="22">
        <f>C6</f>
        <v>0.24</v>
      </c>
    </row>
    <row r="18" ht="26" customHeight="1" spans="1:3" x14ac:dyDescent="0.25">
      <c r="A18" s="16" t="s">
        <v>53</v>
      </c>
      <c r="C18" s="21">
        <f>C5*C9</f>
        <v>195000</v>
      </c>
    </row>
    <row r="19" ht="26" customHeight="1" spans="1:3" x14ac:dyDescent="0.25">
      <c r="A19" s="16" t="s">
        <v>54</v>
      </c>
      <c r="C19" s="21">
        <f>C5*C6*C9</f>
        <v>46800</v>
      </c>
    </row>
    <row r="20" ht="14" customHeight="1" x14ac:dyDescent="0.25"/>
    <row r="21" ht="6" customHeight="1" x14ac:dyDescent="0.25"/>
    <row r="22" ht="20" customHeight="1" spans="1:4" x14ac:dyDescent="0.25">
      <c r="A22" s="11" t="s">
        <v>12</v>
      </c>
      <c r="B22" s="11"/>
      <c r="C22" s="11"/>
      <c r="D22" s="11"/>
    </row>
    <row r="23" ht="20" customHeight="1" spans="1:4" x14ac:dyDescent="0.25">
      <c r="A23" s="12" t="s">
        <v>13</v>
      </c>
      <c r="B23" s="12"/>
      <c r="C23" s="12"/>
      <c r="D23" s="12"/>
    </row>
  </sheetData>
  <sheetProtection sheet="1"/>
  <mergeCells count="4">
    <mergeCell ref="A1:D1"/>
    <mergeCell ref="A2:D2"/>
    <mergeCell ref="A22:D22"/>
    <mergeCell ref="A23:D23"/>
  </mergeCells>
  <hyperlinks>
    <hyperlink ref="A23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H48"/>
  <sheetViews>
    <sheetView workbookViewId="0" showGridLines="0" zoomScale="10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8" customWidth="1"/>
    <col min="2" max="3" width="14" customWidth="1"/>
    <col min="4" max="7" width="16" customWidth="1"/>
    <col min="8" max="8" width="14" customWidth="1"/>
  </cols>
  <sheetData>
    <row r="1" ht="48" customHeight="1" spans="1:8" x14ac:dyDescent="0.25">
      <c r="A1" s="14" t="s">
        <v>55</v>
      </c>
      <c r="B1" s="14"/>
      <c r="C1" s="14"/>
      <c r="D1" s="14"/>
      <c r="E1" s="14"/>
      <c r="F1" s="14"/>
      <c r="G1" s="14"/>
      <c r="H1" s="14"/>
    </row>
    <row r="2" ht="24" customHeight="1" spans="1:8" x14ac:dyDescent="0.25">
      <c r="A2" s="15" t="s">
        <v>56</v>
      </c>
      <c r="B2" s="15"/>
      <c r="C2" s="15"/>
      <c r="D2" s="15"/>
      <c r="E2" s="15"/>
      <c r="F2" s="15"/>
      <c r="G2" s="15"/>
      <c r="H2" s="15"/>
    </row>
    <row r="3" ht="14" customHeight="1" x14ac:dyDescent="0.25"/>
    <row r="4" ht="32" customHeight="1" spans="1:8" x14ac:dyDescent="0.25">
      <c r="A4" s="23" t="s">
        <v>57</v>
      </c>
      <c r="B4" s="24" t="s">
        <v>58</v>
      </c>
      <c r="C4" s="24" t="s">
        <v>59</v>
      </c>
      <c r="D4" s="24" t="s">
        <v>60</v>
      </c>
      <c r="E4" s="24" t="s">
        <v>61</v>
      </c>
      <c r="F4" s="24" t="s">
        <v>62</v>
      </c>
      <c r="G4" s="24" t="s">
        <v>50</v>
      </c>
      <c r="H4" s="24" t="s">
        <v>63</v>
      </c>
    </row>
    <row r="5" ht="26" customHeight="1" spans="1:8" x14ac:dyDescent="0.25">
      <c r="A5" s="25">
        <f>IF('Comparison Setup'!C9&gt;=1,1,"")</f>
        <v>1</v>
      </c>
      <c r="B5" s="26">
        <f>IF(A5="","",'Comparison Setup'!C5)</f>
        <v>6500</v>
      </c>
      <c r="C5" s="26">
        <f>IF(A5="","",0*'Comparison Setup'!C8)</f>
        <v>0</v>
      </c>
      <c r="D5" s="26">
        <f>IF(A5="","",0+C5+B5)</f>
        <v>6500</v>
      </c>
      <c r="E5" s="26">
        <f>IF(A5="","",0*(1+'Comparison Setup'!C8)+B5)</f>
        <v>6500</v>
      </c>
      <c r="F5" s="26">
        <f>IF(A5="","",D5*(1-'Comparison Setup'!C7))</f>
        <v>5070</v>
      </c>
      <c r="G5" s="26">
        <f>IF(A5="","",E5)</f>
        <v>6500</v>
      </c>
      <c r="H5" s="26">
        <f>IF(A5="","",G5-F5)</f>
        <v>1430</v>
      </c>
    </row>
    <row r="6" ht="26" customHeight="1" spans="1:8" x14ac:dyDescent="0.25">
      <c r="A6" s="27">
        <f>IF('Comparison Setup'!C9&gt;=2,2,"")</f>
        <v>2</v>
      </c>
      <c r="B6" s="28">
        <f>IF(A6="","",'Comparison Setup'!C5)</f>
        <v>6500</v>
      </c>
      <c r="C6" s="28">
        <f>IF(A6="","",D5*'Comparison Setup'!C8)</f>
        <v>455</v>
      </c>
      <c r="D6" s="28">
        <f>IF(A6="","",D5+C6+B6)</f>
        <v>13455</v>
      </c>
      <c r="E6" s="28">
        <f>IF(A6="","",E5*(1+'Comparison Setup'!C8)+B6)</f>
        <v>13455</v>
      </c>
      <c r="F6" s="28">
        <f>IF(A6="","",D6*(1-'Comparison Setup'!C7))</f>
        <v>10495</v>
      </c>
      <c r="G6" s="28">
        <f>IF(A6="","",E6)</f>
        <v>13455</v>
      </c>
      <c r="H6" s="28">
        <f>IF(A6="","",G6-F6)</f>
        <v>2960</v>
      </c>
    </row>
    <row r="7" ht="26" customHeight="1" spans="1:8" x14ac:dyDescent="0.25">
      <c r="A7" s="25">
        <f>IF('Comparison Setup'!C9&gt;=3,3,"")</f>
        <v>3</v>
      </c>
      <c r="B7" s="26">
        <f>IF(A7="","",'Comparison Setup'!C5)</f>
        <v>6500</v>
      </c>
      <c r="C7" s="26">
        <f>IF(A7="","",D6*'Comparison Setup'!C8)</f>
        <v>942</v>
      </c>
      <c r="D7" s="26">
        <f>IF(A7="","",D6+C7+B7)</f>
        <v>20897</v>
      </c>
      <c r="E7" s="26">
        <f>IF(A7="","",E6*(1+'Comparison Setup'!C8)+B7)</f>
        <v>20897</v>
      </c>
      <c r="F7" s="26">
        <f>IF(A7="","",D7*(1-'Comparison Setup'!C7))</f>
        <v>16300</v>
      </c>
      <c r="G7" s="26">
        <f>IF(A7="","",E7)</f>
        <v>20897</v>
      </c>
      <c r="H7" s="26">
        <f>IF(A7="","",G7-F7)</f>
        <v>4597</v>
      </c>
    </row>
    <row r="8" ht="26" customHeight="1" spans="1:8" x14ac:dyDescent="0.25">
      <c r="A8" s="27">
        <f>IF('Comparison Setup'!C9&gt;=4,4,"")</f>
        <v>4</v>
      </c>
      <c r="B8" s="28">
        <f>IF(A8="","",'Comparison Setup'!C5)</f>
        <v>6500</v>
      </c>
      <c r="C8" s="28">
        <f>IF(A8="","",D7*'Comparison Setup'!C8)</f>
        <v>1463</v>
      </c>
      <c r="D8" s="28">
        <f>IF(A8="","",D7+C8+B8)</f>
        <v>28860</v>
      </c>
      <c r="E8" s="28">
        <f>IF(A8="","",E7*(1+'Comparison Setup'!C8)+B8)</f>
        <v>28860</v>
      </c>
      <c r="F8" s="28">
        <f>IF(A8="","",D8*(1-'Comparison Setup'!C7))</f>
        <v>22511</v>
      </c>
      <c r="G8" s="28">
        <f>IF(A8="","",E8)</f>
        <v>28860</v>
      </c>
      <c r="H8" s="28">
        <f>IF(A8="","",G8-F8)</f>
        <v>6349</v>
      </c>
    </row>
    <row r="9" ht="26" customHeight="1" spans="1:8" x14ac:dyDescent="0.25">
      <c r="A9" s="25">
        <f>IF('Comparison Setup'!C9&gt;=5,5,"")</f>
        <v>5</v>
      </c>
      <c r="B9" s="26">
        <f>IF(A9="","",'Comparison Setup'!C5)</f>
        <v>6500</v>
      </c>
      <c r="C9" s="26">
        <f>IF(A9="","",D8*'Comparison Setup'!C8)</f>
        <v>2020</v>
      </c>
      <c r="D9" s="26">
        <f>IF(A9="","",D8+C9+B9)</f>
        <v>37380</v>
      </c>
      <c r="E9" s="26">
        <f>IF(A9="","",E8*(1+'Comparison Setup'!C8)+B9)</f>
        <v>37380</v>
      </c>
      <c r="F9" s="26">
        <f>IF(A9="","",D9*(1-'Comparison Setup'!C7))</f>
        <v>29156</v>
      </c>
      <c r="G9" s="26">
        <f>IF(A9="","",E9)</f>
        <v>37380</v>
      </c>
      <c r="H9" s="26">
        <f>IF(A9="","",G9-F9)</f>
        <v>8224</v>
      </c>
    </row>
    <row r="10" ht="26" customHeight="1" spans="1:8" x14ac:dyDescent="0.25">
      <c r="A10" s="27">
        <f>IF('Comparison Setup'!C9&gt;=6,6,"")</f>
        <v>6</v>
      </c>
      <c r="B10" s="28">
        <f>IF(A10="","",'Comparison Setup'!C5)</f>
        <v>6500</v>
      </c>
      <c r="C10" s="28">
        <f>IF(A10="","",D9*'Comparison Setup'!C8)</f>
        <v>2616</v>
      </c>
      <c r="D10" s="28">
        <f>IF(A10="","",D9+C10+B10)</f>
        <v>46496</v>
      </c>
      <c r="E10" s="28">
        <f>IF(A10="","",E9*(1+'Comparison Setup'!C8)+B10)</f>
        <v>46496</v>
      </c>
      <c r="F10" s="28">
        <f>IF(A10="","",D10*(1-'Comparison Setup'!C7))</f>
        <v>36267</v>
      </c>
      <c r="G10" s="28">
        <f>IF(A10="","",E10)</f>
        <v>46496</v>
      </c>
      <c r="H10" s="28">
        <f>IF(A10="","",G10-F10)</f>
        <v>10229</v>
      </c>
    </row>
    <row r="11" ht="26" customHeight="1" spans="1:8" x14ac:dyDescent="0.25">
      <c r="A11" s="25">
        <f>IF('Comparison Setup'!C9&gt;=7,7,"")</f>
        <v>7</v>
      </c>
      <c r="B11" s="26">
        <f>IF(A11="","",'Comparison Setup'!C5)</f>
        <v>6500</v>
      </c>
      <c r="C11" s="26">
        <f>IF(A11="","",D10*'Comparison Setup'!C8)</f>
        <v>3255</v>
      </c>
      <c r="D11" s="26">
        <f>IF(A11="","",D10+C11+B11)</f>
        <v>56251</v>
      </c>
      <c r="E11" s="26">
        <f>IF(A11="","",E10*(1+'Comparison Setup'!C8)+B11)</f>
        <v>56251</v>
      </c>
      <c r="F11" s="26">
        <f>IF(A11="","",D11*(1-'Comparison Setup'!C7))</f>
        <v>43876</v>
      </c>
      <c r="G11" s="26">
        <f>IF(A11="","",E11)</f>
        <v>56251</v>
      </c>
      <c r="H11" s="26">
        <f>IF(A11="","",G11-F11)</f>
        <v>12375</v>
      </c>
    </row>
    <row r="12" ht="26" customHeight="1" spans="1:8" x14ac:dyDescent="0.25">
      <c r="A12" s="27">
        <f>IF('Comparison Setup'!C9&gt;=8,8,"")</f>
        <v>8</v>
      </c>
      <c r="B12" s="28">
        <f>IF(A12="","",'Comparison Setup'!C5)</f>
        <v>6500</v>
      </c>
      <c r="C12" s="28">
        <f>IF(A12="","",D11*'Comparison Setup'!C8)</f>
        <v>3938</v>
      </c>
      <c r="D12" s="28">
        <f>IF(A12="","",D11+C12+B12)</f>
        <v>66689</v>
      </c>
      <c r="E12" s="28">
        <f>IF(A12="","",E11*(1+'Comparison Setup'!C8)+B12)</f>
        <v>66689</v>
      </c>
      <c r="F12" s="28">
        <f>IF(A12="","",D12*(1-'Comparison Setup'!C7))</f>
        <v>52017</v>
      </c>
      <c r="G12" s="28">
        <f>IF(A12="","",E12)</f>
        <v>66689</v>
      </c>
      <c r="H12" s="28">
        <f>IF(A12="","",G12-F12)</f>
        <v>14672</v>
      </c>
    </row>
    <row r="13" ht="26" customHeight="1" spans="1:8" x14ac:dyDescent="0.25">
      <c r="A13" s="25">
        <f>IF('Comparison Setup'!C9&gt;=9,9,"")</f>
        <v>9</v>
      </c>
      <c r="B13" s="26">
        <f>IF(A13="","",'Comparison Setup'!C5)</f>
        <v>6500</v>
      </c>
      <c r="C13" s="26">
        <f>IF(A13="","",D12*'Comparison Setup'!C8)</f>
        <v>4668</v>
      </c>
      <c r="D13" s="26">
        <f>IF(A13="","",D12+C13+B13)</f>
        <v>77857</v>
      </c>
      <c r="E13" s="26">
        <f>IF(A13="","",E12*(1+'Comparison Setup'!C8)+B13)</f>
        <v>77857</v>
      </c>
      <c r="F13" s="26">
        <f>IF(A13="","",D13*(1-'Comparison Setup'!C7))</f>
        <v>60728</v>
      </c>
      <c r="G13" s="26">
        <f>IF(A13="","",E13)</f>
        <v>77857</v>
      </c>
      <c r="H13" s="26">
        <f>IF(A13="","",G13-F13)</f>
        <v>17129</v>
      </c>
    </row>
    <row r="14" ht="26" customHeight="1" spans="1:8" x14ac:dyDescent="0.25">
      <c r="A14" s="27">
        <f>IF('Comparison Setup'!C9&gt;=10,10,"")</f>
        <v>10</v>
      </c>
      <c r="B14" s="28">
        <f>IF(A14="","",'Comparison Setup'!C5)</f>
        <v>6500</v>
      </c>
      <c r="C14" s="28">
        <f>IF(A14="","",D13*'Comparison Setup'!C8)</f>
        <v>5450</v>
      </c>
      <c r="D14" s="28">
        <f>IF(A14="","",D13+C14+B14)</f>
        <v>89807</v>
      </c>
      <c r="E14" s="28">
        <f>IF(A14="","",E13*(1+'Comparison Setup'!C8)+B14)</f>
        <v>89807</v>
      </c>
      <c r="F14" s="28">
        <f>IF(A14="","",D14*(1-'Comparison Setup'!C7))</f>
        <v>70049</v>
      </c>
      <c r="G14" s="28">
        <f>IF(A14="","",E14)</f>
        <v>89807</v>
      </c>
      <c r="H14" s="28">
        <f>IF(A14="","",G14-F14)</f>
        <v>19758</v>
      </c>
    </row>
    <row r="15" ht="26" customHeight="1" spans="1:8" x14ac:dyDescent="0.25">
      <c r="A15" s="25">
        <f>IF('Comparison Setup'!C9&gt;=11,11,"")</f>
        <v>11</v>
      </c>
      <c r="B15" s="26">
        <f>IF(A15="","",'Comparison Setup'!C5)</f>
        <v>6500</v>
      </c>
      <c r="C15" s="26">
        <f>IF(A15="","",D14*'Comparison Setup'!C8)</f>
        <v>6286</v>
      </c>
      <c r="D15" s="26">
        <f>IF(A15="","",D14+C15+B15)</f>
        <v>102593</v>
      </c>
      <c r="E15" s="26">
        <f>IF(A15="","",E14*(1+'Comparison Setup'!C8)+B15)</f>
        <v>102593</v>
      </c>
      <c r="F15" s="26">
        <f>IF(A15="","",D15*(1-'Comparison Setup'!C7))</f>
        <v>80023</v>
      </c>
      <c r="G15" s="26">
        <f>IF(A15="","",E15)</f>
        <v>102593</v>
      </c>
      <c r="H15" s="26">
        <f>IF(A15="","",G15-F15)</f>
        <v>22570</v>
      </c>
    </row>
    <row r="16" ht="26" customHeight="1" spans="1:8" x14ac:dyDescent="0.25">
      <c r="A16" s="27">
        <f>IF('Comparison Setup'!C9&gt;=12,12,"")</f>
        <v>12</v>
      </c>
      <c r="B16" s="28">
        <f>IF(A16="","",'Comparison Setup'!C5)</f>
        <v>6500</v>
      </c>
      <c r="C16" s="28">
        <f>IF(A16="","",D15*'Comparison Setup'!C8)</f>
        <v>7182</v>
      </c>
      <c r="D16" s="28">
        <f>IF(A16="","",D15+C16+B16)</f>
        <v>116275</v>
      </c>
      <c r="E16" s="28">
        <f>IF(A16="","",E15*(1+'Comparison Setup'!C8)+B16)</f>
        <v>116275</v>
      </c>
      <c r="F16" s="28">
        <f>IF(A16="","",D16*(1-'Comparison Setup'!C7))</f>
        <v>90694</v>
      </c>
      <c r="G16" s="28">
        <f>IF(A16="","",E16)</f>
        <v>116275</v>
      </c>
      <c r="H16" s="28">
        <f>IF(A16="","",G16-F16)</f>
        <v>25581</v>
      </c>
    </row>
    <row r="17" ht="26" customHeight="1" spans="1:8" x14ac:dyDescent="0.25">
      <c r="A17" s="25">
        <f>IF('Comparison Setup'!C9&gt;=13,13,"")</f>
        <v>13</v>
      </c>
      <c r="B17" s="26">
        <f>IF(A17="","",'Comparison Setup'!C5)</f>
        <v>6500</v>
      </c>
      <c r="C17" s="26">
        <f>IF(A17="","",D16*'Comparison Setup'!C8)</f>
        <v>8139</v>
      </c>
      <c r="D17" s="26">
        <f>IF(A17="","",D16+C17+B17)</f>
        <v>130914</v>
      </c>
      <c r="E17" s="26">
        <f>IF(A17="","",E16*(1+'Comparison Setup'!C8)+B17)</f>
        <v>130914</v>
      </c>
      <c r="F17" s="26">
        <f>IF(A17="","",D17*(1-'Comparison Setup'!C7))</f>
        <v>102113</v>
      </c>
      <c r="G17" s="26">
        <f>IF(A17="","",E17)</f>
        <v>130914</v>
      </c>
      <c r="H17" s="26">
        <f>IF(A17="","",G17-F17)</f>
        <v>28801</v>
      </c>
    </row>
    <row r="18" ht="26" customHeight="1" spans="1:8" x14ac:dyDescent="0.25">
      <c r="A18" s="27">
        <f>IF('Comparison Setup'!C9&gt;=14,14,"")</f>
        <v>14</v>
      </c>
      <c r="B18" s="28">
        <f>IF(A18="","",'Comparison Setup'!C5)</f>
        <v>6500</v>
      </c>
      <c r="C18" s="28">
        <f>IF(A18="","",D17*'Comparison Setup'!C8)</f>
        <v>9164</v>
      </c>
      <c r="D18" s="28">
        <f>IF(A18="","",D17+C18+B18)</f>
        <v>146578</v>
      </c>
      <c r="E18" s="28">
        <f>IF(A18="","",E17*(1+'Comparison Setup'!C8)+B18)</f>
        <v>146578</v>
      </c>
      <c r="F18" s="28">
        <f>IF(A18="","",D18*(1-'Comparison Setup'!C7))</f>
        <v>114331</v>
      </c>
      <c r="G18" s="28">
        <f>IF(A18="","",E18)</f>
        <v>146578</v>
      </c>
      <c r="H18" s="28">
        <f>IF(A18="","",G18-F18)</f>
        <v>32247</v>
      </c>
    </row>
    <row r="19" ht="26" customHeight="1" spans="1:8" x14ac:dyDescent="0.25">
      <c r="A19" s="25">
        <f>IF('Comparison Setup'!C9&gt;=15,15,"")</f>
        <v>15</v>
      </c>
      <c r="B19" s="26">
        <f>IF(A19="","",'Comparison Setup'!C5)</f>
        <v>6500</v>
      </c>
      <c r="C19" s="26">
        <f>IF(A19="","",D18*'Comparison Setup'!C8)</f>
        <v>10261</v>
      </c>
      <c r="D19" s="26">
        <f>IF(A19="","",D18+C19+B19)</f>
        <v>163339</v>
      </c>
      <c r="E19" s="26">
        <f>IF(A19="","",E18*(1+'Comparison Setup'!C8)+B19)</f>
        <v>163339</v>
      </c>
      <c r="F19" s="26">
        <f>IF(A19="","",D19*(1-'Comparison Setup'!C7))</f>
        <v>127404</v>
      </c>
      <c r="G19" s="26">
        <f>IF(A19="","",E19)</f>
        <v>163339</v>
      </c>
      <c r="H19" s="26">
        <f>IF(A19="","",G19-F19)</f>
        <v>35935</v>
      </c>
    </row>
    <row r="20" ht="26" customHeight="1" spans="1:8" x14ac:dyDescent="0.25">
      <c r="A20" s="27">
        <f>IF('Comparison Setup'!C9&gt;=16,16,"")</f>
        <v>16</v>
      </c>
      <c r="B20" s="28">
        <f>IF(A20="","",'Comparison Setup'!C5)</f>
        <v>6500</v>
      </c>
      <c r="C20" s="28">
        <f>IF(A20="","",D19*'Comparison Setup'!C8)</f>
        <v>11433</v>
      </c>
      <c r="D20" s="28">
        <f>IF(A20="","",D19+C20+B20)</f>
        <v>181272</v>
      </c>
      <c r="E20" s="28">
        <f>IF(A20="","",E19*(1+'Comparison Setup'!C8)+B20)</f>
        <v>181272</v>
      </c>
      <c r="F20" s="28">
        <f>IF(A20="","",D20*(1-'Comparison Setup'!C7))</f>
        <v>141392</v>
      </c>
      <c r="G20" s="28">
        <f>IF(A20="","",E20)</f>
        <v>181272</v>
      </c>
      <c r="H20" s="28">
        <f>IF(A20="","",G20-F20)</f>
        <v>39880</v>
      </c>
    </row>
    <row r="21" ht="26" customHeight="1" spans="1:8" x14ac:dyDescent="0.25">
      <c r="A21" s="25">
        <f>IF('Comparison Setup'!C9&gt;=17,17,"")</f>
        <v>17</v>
      </c>
      <c r="B21" s="26">
        <f>IF(A21="","",'Comparison Setup'!C5)</f>
        <v>6500</v>
      </c>
      <c r="C21" s="26">
        <f>IF(A21="","",D20*'Comparison Setup'!C8)</f>
        <v>12689</v>
      </c>
      <c r="D21" s="26">
        <f>IF(A21="","",D20+C21+B21)</f>
        <v>200461</v>
      </c>
      <c r="E21" s="26">
        <f>IF(A21="","",E20*(1+'Comparison Setup'!C8)+B21)</f>
        <v>200461</v>
      </c>
      <c r="F21" s="26">
        <f>IF(A21="","",D21*(1-'Comparison Setup'!C7))</f>
        <v>156360</v>
      </c>
      <c r="G21" s="26">
        <f>IF(A21="","",E21)</f>
        <v>200461</v>
      </c>
      <c r="H21" s="26">
        <f>IF(A21="","",G21-F21)</f>
        <v>44101</v>
      </c>
    </row>
    <row r="22" ht="26" customHeight="1" spans="1:8" x14ac:dyDescent="0.25">
      <c r="A22" s="27">
        <f>IF('Comparison Setup'!C9&gt;=18,18,"")</f>
        <v>18</v>
      </c>
      <c r="B22" s="28">
        <f>IF(A22="","",'Comparison Setup'!C5)</f>
        <v>6500</v>
      </c>
      <c r="C22" s="28">
        <f>IF(A22="","",D21*'Comparison Setup'!C8)</f>
        <v>14033</v>
      </c>
      <c r="D22" s="28">
        <f>IF(A22="","",D21+C22+B22)</f>
        <v>220994</v>
      </c>
      <c r="E22" s="28">
        <f>IF(A22="","",E21*(1+'Comparison Setup'!C8)+B22)</f>
        <v>220994</v>
      </c>
      <c r="F22" s="28">
        <f>IF(A22="","",D22*(1-'Comparison Setup'!C7))</f>
        <v>172375</v>
      </c>
      <c r="G22" s="28">
        <f>IF(A22="","",E22)</f>
        <v>220994</v>
      </c>
      <c r="H22" s="28">
        <f>IF(A22="","",G22-F22)</f>
        <v>48619</v>
      </c>
    </row>
    <row r="23" ht="26" customHeight="1" spans="1:8" x14ac:dyDescent="0.25">
      <c r="A23" s="25">
        <f>IF('Comparison Setup'!C9&gt;=19,19,"")</f>
        <v>19</v>
      </c>
      <c r="B23" s="26">
        <f>IF(A23="","",'Comparison Setup'!C5)</f>
        <v>6500</v>
      </c>
      <c r="C23" s="26">
        <f>IF(A23="","",D22*'Comparison Setup'!C8)</f>
        <v>15469</v>
      </c>
      <c r="D23" s="26">
        <f>IF(A23="","",D22+C23+B23)</f>
        <v>242963</v>
      </c>
      <c r="E23" s="26">
        <f>IF(A23="","",E22*(1+'Comparison Setup'!C8)+B23)</f>
        <v>242963</v>
      </c>
      <c r="F23" s="26">
        <f>IF(A23="","",D23*(1-'Comparison Setup'!C7))</f>
        <v>189511</v>
      </c>
      <c r="G23" s="26">
        <f>IF(A23="","",E23)</f>
        <v>242963</v>
      </c>
      <c r="H23" s="26">
        <f>IF(A23="","",G23-F23)</f>
        <v>53452</v>
      </c>
    </row>
    <row r="24" ht="26" customHeight="1" spans="1:8" x14ac:dyDescent="0.25">
      <c r="A24" s="27">
        <f>IF('Comparison Setup'!C9&gt;=20,20,"")</f>
        <v>20</v>
      </c>
      <c r="B24" s="28">
        <f>IF(A24="","",'Comparison Setup'!C5)</f>
        <v>6500</v>
      </c>
      <c r="C24" s="28">
        <f>IF(A24="","",D23*'Comparison Setup'!C8)</f>
        <v>17008</v>
      </c>
      <c r="D24" s="28">
        <f>IF(A24="","",D23+C24+B24)</f>
        <v>266471</v>
      </c>
      <c r="E24" s="28">
        <f>IF(A24="","",E23*(1+'Comparison Setup'!C8)+B24)</f>
        <v>266471</v>
      </c>
      <c r="F24" s="28">
        <f>IF(A24="","",D24*(1-'Comparison Setup'!C7))</f>
        <v>207847</v>
      </c>
      <c r="G24" s="28">
        <f>IF(A24="","",E24)</f>
        <v>266471</v>
      </c>
      <c r="H24" s="28">
        <f>IF(A24="","",G24-F24)</f>
        <v>58624</v>
      </c>
    </row>
    <row r="25" ht="26" customHeight="1" spans="1:8" x14ac:dyDescent="0.25">
      <c r="A25" s="25">
        <f>IF('Comparison Setup'!C9&gt;=21,21,"")</f>
        <v>21</v>
      </c>
      <c r="B25" s="26">
        <f>IF(A25="","",'Comparison Setup'!C5)</f>
        <v>6500</v>
      </c>
      <c r="C25" s="26">
        <f>IF(A25="","",D24*'Comparison Setup'!C8)</f>
        <v>18653</v>
      </c>
      <c r="D25" s="26">
        <f>IF(A25="","",D24+C25+B25)</f>
        <v>291624</v>
      </c>
      <c r="E25" s="26">
        <f>IF(A25="","",E24*(1+'Comparison Setup'!C8)+B25)</f>
        <v>291624</v>
      </c>
      <c r="F25" s="26">
        <f>IF(A25="","",D25*(1-'Comparison Setup'!C7))</f>
        <v>227466</v>
      </c>
      <c r="G25" s="26">
        <f>IF(A25="","",E25)</f>
        <v>291624</v>
      </c>
      <c r="H25" s="26">
        <f>IF(A25="","",G25-F25)</f>
        <v>64158</v>
      </c>
    </row>
    <row r="26" ht="26" customHeight="1" spans="1:8" x14ac:dyDescent="0.25">
      <c r="A26" s="27">
        <f>IF('Comparison Setup'!C9&gt;=22,22,"")</f>
        <v>22</v>
      </c>
      <c r="B26" s="28">
        <f>IF(A26="","",'Comparison Setup'!C5)</f>
        <v>6500</v>
      </c>
      <c r="C26" s="28">
        <f>IF(A26="","",D25*'Comparison Setup'!C8)</f>
        <v>20413</v>
      </c>
      <c r="D26" s="28">
        <f>IF(A26="","",D25+C26+B26)</f>
        <v>318537</v>
      </c>
      <c r="E26" s="28">
        <f>IF(A26="","",E25*(1+'Comparison Setup'!C8)+B26)</f>
        <v>318537</v>
      </c>
      <c r="F26" s="28">
        <f>IF(A26="","",D26*(1-'Comparison Setup'!C7))</f>
        <v>248459</v>
      </c>
      <c r="G26" s="28">
        <f>IF(A26="","",E26)</f>
        <v>318537</v>
      </c>
      <c r="H26" s="28">
        <f>IF(A26="","",G26-F26)</f>
        <v>70078</v>
      </c>
    </row>
    <row r="27" ht="26" customHeight="1" spans="1:8" x14ac:dyDescent="0.25">
      <c r="A27" s="25">
        <f>IF('Comparison Setup'!C9&gt;=23,23,"")</f>
        <v>23</v>
      </c>
      <c r="B27" s="26">
        <f>IF(A27="","",'Comparison Setup'!C5)</f>
        <v>6500</v>
      </c>
      <c r="C27" s="26">
        <f>IF(A27="","",D26*'Comparison Setup'!C8)</f>
        <v>22298</v>
      </c>
      <c r="D27" s="26">
        <f>IF(A27="","",D26+C27+B27)</f>
        <v>347335</v>
      </c>
      <c r="E27" s="26">
        <f>IF(A27="","",E26*(1+'Comparison Setup'!C8)+B27)</f>
        <v>347335</v>
      </c>
      <c r="F27" s="26">
        <f>IF(A27="","",D27*(1-'Comparison Setup'!C7))</f>
        <v>270921</v>
      </c>
      <c r="G27" s="26">
        <f>IF(A27="","",E27)</f>
        <v>347335</v>
      </c>
      <c r="H27" s="26">
        <f>IF(A27="","",G27-F27)</f>
        <v>76414</v>
      </c>
    </row>
    <row r="28" ht="26" customHeight="1" spans="1:8" x14ac:dyDescent="0.25">
      <c r="A28" s="27">
        <f>IF('Comparison Setup'!C9&gt;=24,24,"")</f>
        <v>24</v>
      </c>
      <c r="B28" s="28">
        <f>IF(A28="","",'Comparison Setup'!C5)</f>
        <v>6500</v>
      </c>
      <c r="C28" s="28">
        <f>IF(A28="","",D27*'Comparison Setup'!C8)</f>
        <v>24313</v>
      </c>
      <c r="D28" s="28">
        <f>IF(A28="","",D27+C28+B28)</f>
        <v>378148</v>
      </c>
      <c r="E28" s="28">
        <f>IF(A28="","",E27*(1+'Comparison Setup'!C8)+B28)</f>
        <v>378148</v>
      </c>
      <c r="F28" s="28">
        <f>IF(A28="","",D28*(1-'Comparison Setup'!C7))</f>
        <v>294956</v>
      </c>
      <c r="G28" s="28">
        <f>IF(A28="","",E28)</f>
        <v>378148</v>
      </c>
      <c r="H28" s="28">
        <f>IF(A28="","",G28-F28)</f>
        <v>83192</v>
      </c>
    </row>
    <row r="29" ht="26" customHeight="1" spans="1:8" x14ac:dyDescent="0.25">
      <c r="A29" s="25">
        <f>IF('Comparison Setup'!C9&gt;=25,25,"")</f>
        <v>25</v>
      </c>
      <c r="B29" s="26">
        <f>IF(A29="","",'Comparison Setup'!C5)</f>
        <v>6500</v>
      </c>
      <c r="C29" s="26">
        <f>IF(A29="","",D28*'Comparison Setup'!C8)</f>
        <v>26471</v>
      </c>
      <c r="D29" s="26">
        <f>IF(A29="","",D28+C29+B29)</f>
        <v>411119</v>
      </c>
      <c r="E29" s="26">
        <f>IF(A29="","",E28*(1+'Comparison Setup'!C8)+B29)</f>
        <v>411119</v>
      </c>
      <c r="F29" s="26">
        <f>IF(A29="","",D29*(1-'Comparison Setup'!C7))</f>
        <v>320673</v>
      </c>
      <c r="G29" s="26">
        <f>IF(A29="","",E29)</f>
        <v>411119</v>
      </c>
      <c r="H29" s="26">
        <f>IF(A29="","",G29-F29)</f>
        <v>90446</v>
      </c>
    </row>
    <row r="30" ht="26" customHeight="1" spans="1:8" x14ac:dyDescent="0.25">
      <c r="A30" s="27">
        <f>IF('Comparison Setup'!C9&gt;=26,26,"")</f>
        <v>26</v>
      </c>
      <c r="B30" s="28">
        <f>IF(A30="","",'Comparison Setup'!C5)</f>
        <v>6500</v>
      </c>
      <c r="C30" s="28">
        <f>IF(A30="","",D29*'Comparison Setup'!C8)</f>
        <v>28778</v>
      </c>
      <c r="D30" s="28">
        <f>IF(A30="","",D29+C30+B30)</f>
        <v>446397</v>
      </c>
      <c r="E30" s="28">
        <f>IF(A30="","",E29*(1+'Comparison Setup'!C8)+B30)</f>
        <v>446397</v>
      </c>
      <c r="F30" s="28">
        <f>IF(A30="","",D30*(1-'Comparison Setup'!C7))</f>
        <v>348190</v>
      </c>
      <c r="G30" s="28">
        <f>IF(A30="","",E30)</f>
        <v>446397</v>
      </c>
      <c r="H30" s="28">
        <f>IF(A30="","",G30-F30)</f>
        <v>98207</v>
      </c>
    </row>
    <row r="31" ht="26" customHeight="1" spans="1:8" x14ac:dyDescent="0.25">
      <c r="A31" s="25">
        <f>IF('Comparison Setup'!C9&gt;=27,27,"")</f>
        <v>27</v>
      </c>
      <c r="B31" s="26">
        <f>IF(A31="","",'Comparison Setup'!C5)</f>
        <v>6500</v>
      </c>
      <c r="C31" s="26">
        <f>IF(A31="","",D30*'Comparison Setup'!C8)</f>
        <v>31248</v>
      </c>
      <c r="D31" s="26">
        <f>IF(A31="","",D30+C31+B31)</f>
        <v>484145</v>
      </c>
      <c r="E31" s="26">
        <f>IF(A31="","",E30*(1+'Comparison Setup'!C8)+B31)</f>
        <v>484145</v>
      </c>
      <c r="F31" s="26">
        <f>IF(A31="","",D31*(1-'Comparison Setup'!C7))</f>
        <v>377633</v>
      </c>
      <c r="G31" s="26">
        <f>IF(A31="","",E31)</f>
        <v>484145</v>
      </c>
      <c r="H31" s="26">
        <f>IF(A31="","",G31-F31)</f>
        <v>106512</v>
      </c>
    </row>
    <row r="32" ht="26" customHeight="1" spans="1:8" x14ac:dyDescent="0.25">
      <c r="A32" s="27">
        <f>IF('Comparison Setup'!C9&gt;=28,28,"")</f>
        <v>28</v>
      </c>
      <c r="B32" s="28">
        <f>IF(A32="","",'Comparison Setup'!C5)</f>
        <v>6500</v>
      </c>
      <c r="C32" s="28">
        <f>IF(A32="","",D31*'Comparison Setup'!C8)</f>
        <v>33890</v>
      </c>
      <c r="D32" s="28">
        <f>IF(A32="","",D31+C32+B32)</f>
        <v>524535</v>
      </c>
      <c r="E32" s="28">
        <f>IF(A32="","",E31*(1+'Comparison Setup'!C8)+B32)</f>
        <v>524535</v>
      </c>
      <c r="F32" s="28">
        <f>IF(A32="","",D32*(1-'Comparison Setup'!C7))</f>
        <v>409137</v>
      </c>
      <c r="G32" s="28">
        <f>IF(A32="","",E32)</f>
        <v>524535</v>
      </c>
      <c r="H32" s="28">
        <f>IF(A32="","",G32-F32)</f>
        <v>115398</v>
      </c>
    </row>
    <row r="33" ht="26" customHeight="1" spans="1:8" x14ac:dyDescent="0.25">
      <c r="A33" s="25">
        <f>IF('Comparison Setup'!C9&gt;=29,29,"")</f>
        <v>29</v>
      </c>
      <c r="B33" s="26">
        <f>IF(A33="","",'Comparison Setup'!C5)</f>
        <v>6500</v>
      </c>
      <c r="C33" s="26">
        <f>IF(A33="","",D32*'Comparison Setup'!C8)</f>
        <v>36717</v>
      </c>
      <c r="D33" s="26">
        <f>IF(A33="","",D32+C33+B33)</f>
        <v>567752</v>
      </c>
      <c r="E33" s="26">
        <f>IF(A33="","",E32*(1+'Comparison Setup'!C8)+B33)</f>
        <v>567752</v>
      </c>
      <c r="F33" s="26">
        <f>IF(A33="","",D33*(1-'Comparison Setup'!C7))</f>
        <v>442847</v>
      </c>
      <c r="G33" s="26">
        <f>IF(A33="","",E33)</f>
        <v>567752</v>
      </c>
      <c r="H33" s="26">
        <f>IF(A33="","",G33-F33)</f>
        <v>124905</v>
      </c>
    </row>
    <row r="34" ht="26" customHeight="1" spans="1:8" x14ac:dyDescent="0.25">
      <c r="A34" s="27">
        <f>IF('Comparison Setup'!C9&gt;=30,30,"")</f>
        <v>30</v>
      </c>
      <c r="B34" s="28">
        <f>IF(A34="","",'Comparison Setup'!C5)</f>
        <v>6500</v>
      </c>
      <c r="C34" s="28">
        <f>IF(A34="","",D33*'Comparison Setup'!C8)</f>
        <v>39743</v>
      </c>
      <c r="D34" s="28">
        <f>IF(A34="","",D33+C34+B34)</f>
        <v>613995</v>
      </c>
      <c r="E34" s="28">
        <f>IF(A34="","",E33*(1+'Comparison Setup'!C8)+B34)</f>
        <v>613995</v>
      </c>
      <c r="F34" s="28">
        <f>IF(A34="","",D34*(1-'Comparison Setup'!C7))</f>
        <v>478916</v>
      </c>
      <c r="G34" s="28">
        <f>IF(A34="","",E34)</f>
        <v>613995</v>
      </c>
      <c r="H34" s="28">
        <f>IF(A34="","",G34-F34)</f>
        <v>135079</v>
      </c>
    </row>
    <row r="35" ht="26" customHeight="1" spans="1:8" x14ac:dyDescent="0.25">
      <c r="A35" s="25" t="str">
        <f>IF('Comparison Setup'!C9&gt;=31,31,"")</f>
        <v/>
      </c>
      <c r="B35" s="26" t="str">
        <f>IF(A35="","",'Comparison Setup'!C5)</f>
        <v/>
      </c>
      <c r="C35" s="26" t="str">
        <f>IF(A35="","",D34*'Comparison Setup'!C8)</f>
        <v/>
      </c>
      <c r="D35" s="26" t="str">
        <f>IF(A35="","",D34+C35+B35)</f>
        <v/>
      </c>
      <c r="E35" s="26" t="str">
        <f>IF(A35="","",E34*(1+'Comparison Setup'!C8)+B35)</f>
        <v/>
      </c>
      <c r="F35" s="26" t="str">
        <f>IF(A35="","",D35*(1-'Comparison Setup'!C7))</f>
        <v/>
      </c>
      <c r="G35" s="26" t="str">
        <f>IF(A35="","",E35)</f>
        <v/>
      </c>
      <c r="H35" s="26" t="str">
        <f>IF(A35="","",G35-F35)</f>
        <v/>
      </c>
    </row>
    <row r="36" ht="26" customHeight="1" spans="1:8" x14ac:dyDescent="0.25">
      <c r="A36" s="27" t="str">
        <f>IF('Comparison Setup'!C9&gt;=32,32,"")</f>
        <v/>
      </c>
      <c r="B36" s="28" t="str">
        <f>IF(A36="","",'Comparison Setup'!C5)</f>
        <v/>
      </c>
      <c r="C36" s="28" t="str">
        <f>IF(A36="","",D35*'Comparison Setup'!C8)</f>
        <v/>
      </c>
      <c r="D36" s="28" t="str">
        <f>IF(A36="","",D35+C36+B36)</f>
        <v/>
      </c>
      <c r="E36" s="28" t="str">
        <f>IF(A36="","",E35*(1+'Comparison Setup'!C8)+B36)</f>
        <v/>
      </c>
      <c r="F36" s="28" t="str">
        <f>IF(A36="","",D36*(1-'Comparison Setup'!C7))</f>
        <v/>
      </c>
      <c r="G36" s="28" t="str">
        <f>IF(A36="","",E36)</f>
        <v/>
      </c>
      <c r="H36" s="28" t="str">
        <f>IF(A36="","",G36-F36)</f>
        <v/>
      </c>
    </row>
    <row r="37" ht="26" customHeight="1" spans="1:8" x14ac:dyDescent="0.25">
      <c r="A37" s="25" t="str">
        <f>IF('Comparison Setup'!C9&gt;=33,33,"")</f>
        <v/>
      </c>
      <c r="B37" s="26" t="str">
        <f>IF(A37="","",'Comparison Setup'!C5)</f>
        <v/>
      </c>
      <c r="C37" s="26" t="str">
        <f>IF(A37="","",D36*'Comparison Setup'!C8)</f>
        <v/>
      </c>
      <c r="D37" s="26" t="str">
        <f>IF(A37="","",D36+C37+B37)</f>
        <v/>
      </c>
      <c r="E37" s="26" t="str">
        <f>IF(A37="","",E36*(1+'Comparison Setup'!C8)+B37)</f>
        <v/>
      </c>
      <c r="F37" s="26" t="str">
        <f>IF(A37="","",D37*(1-'Comparison Setup'!C7))</f>
        <v/>
      </c>
      <c r="G37" s="26" t="str">
        <f>IF(A37="","",E37)</f>
        <v/>
      </c>
      <c r="H37" s="26" t="str">
        <f>IF(A37="","",G37-F37)</f>
        <v/>
      </c>
    </row>
    <row r="38" ht="26" customHeight="1" spans="1:8" x14ac:dyDescent="0.25">
      <c r="A38" s="27" t="str">
        <f>IF('Comparison Setup'!C9&gt;=34,34,"")</f>
        <v/>
      </c>
      <c r="B38" s="28" t="str">
        <f>IF(A38="","",'Comparison Setup'!C5)</f>
        <v/>
      </c>
      <c r="C38" s="28" t="str">
        <f>IF(A38="","",D37*'Comparison Setup'!C8)</f>
        <v/>
      </c>
      <c r="D38" s="28" t="str">
        <f>IF(A38="","",D37+C38+B38)</f>
        <v/>
      </c>
      <c r="E38" s="28" t="str">
        <f>IF(A38="","",E37*(1+'Comparison Setup'!C8)+B38)</f>
        <v/>
      </c>
      <c r="F38" s="28" t="str">
        <f>IF(A38="","",D38*(1-'Comparison Setup'!C7))</f>
        <v/>
      </c>
      <c r="G38" s="28" t="str">
        <f>IF(A38="","",E38)</f>
        <v/>
      </c>
      <c r="H38" s="28" t="str">
        <f>IF(A38="","",G38-F38)</f>
        <v/>
      </c>
    </row>
    <row r="39" ht="26" customHeight="1" spans="1:8" x14ac:dyDescent="0.25">
      <c r="A39" s="25" t="str">
        <f>IF('Comparison Setup'!C9&gt;=35,35,"")</f>
        <v/>
      </c>
      <c r="B39" s="26" t="str">
        <f>IF(A39="","",'Comparison Setup'!C5)</f>
        <v/>
      </c>
      <c r="C39" s="26" t="str">
        <f>IF(A39="","",D38*'Comparison Setup'!C8)</f>
        <v/>
      </c>
      <c r="D39" s="26" t="str">
        <f>IF(A39="","",D38+C39+B39)</f>
        <v/>
      </c>
      <c r="E39" s="26" t="str">
        <f>IF(A39="","",E38*(1+'Comparison Setup'!C8)+B39)</f>
        <v/>
      </c>
      <c r="F39" s="26" t="str">
        <f>IF(A39="","",D39*(1-'Comparison Setup'!C7))</f>
        <v/>
      </c>
      <c r="G39" s="26" t="str">
        <f>IF(A39="","",E39)</f>
        <v/>
      </c>
      <c r="H39" s="26" t="str">
        <f>IF(A39="","",G39-F39)</f>
        <v/>
      </c>
    </row>
    <row r="40" ht="26" customHeight="1" spans="1:8" x14ac:dyDescent="0.25">
      <c r="A40" s="27" t="str">
        <f>IF('Comparison Setup'!C9&gt;=36,36,"")</f>
        <v/>
      </c>
      <c r="B40" s="28" t="str">
        <f>IF(A40="","",'Comparison Setup'!C5)</f>
        <v/>
      </c>
      <c r="C40" s="28" t="str">
        <f>IF(A40="","",D39*'Comparison Setup'!C8)</f>
        <v/>
      </c>
      <c r="D40" s="28" t="str">
        <f>IF(A40="","",D39+C40+B40)</f>
        <v/>
      </c>
      <c r="E40" s="28" t="str">
        <f>IF(A40="","",E39*(1+'Comparison Setup'!C8)+B40)</f>
        <v/>
      </c>
      <c r="F40" s="28" t="str">
        <f>IF(A40="","",D40*(1-'Comparison Setup'!C7))</f>
        <v/>
      </c>
      <c r="G40" s="28" t="str">
        <f>IF(A40="","",E40)</f>
        <v/>
      </c>
      <c r="H40" s="28" t="str">
        <f>IF(A40="","",G40-F40)</f>
        <v/>
      </c>
    </row>
    <row r="41" ht="26" customHeight="1" spans="1:8" x14ac:dyDescent="0.25">
      <c r="A41" s="25" t="str">
        <f>IF('Comparison Setup'!C9&gt;=37,37,"")</f>
        <v/>
      </c>
      <c r="B41" s="26" t="str">
        <f>IF(A41="","",'Comparison Setup'!C5)</f>
        <v/>
      </c>
      <c r="C41" s="26" t="str">
        <f>IF(A41="","",D40*'Comparison Setup'!C8)</f>
        <v/>
      </c>
      <c r="D41" s="26" t="str">
        <f>IF(A41="","",D40+C41+B41)</f>
        <v/>
      </c>
      <c r="E41" s="26" t="str">
        <f>IF(A41="","",E40*(1+'Comparison Setup'!C8)+B41)</f>
        <v/>
      </c>
      <c r="F41" s="26" t="str">
        <f>IF(A41="","",D41*(1-'Comparison Setup'!C7))</f>
        <v/>
      </c>
      <c r="G41" s="26" t="str">
        <f>IF(A41="","",E41)</f>
        <v/>
      </c>
      <c r="H41" s="26" t="str">
        <f>IF(A41="","",G41-F41)</f>
        <v/>
      </c>
    </row>
    <row r="42" ht="26" customHeight="1" spans="1:8" x14ac:dyDescent="0.25">
      <c r="A42" s="27" t="str">
        <f>IF('Comparison Setup'!C9&gt;=38,38,"")</f>
        <v/>
      </c>
      <c r="B42" s="28" t="str">
        <f>IF(A42="","",'Comparison Setup'!C5)</f>
        <v/>
      </c>
      <c r="C42" s="28" t="str">
        <f>IF(A42="","",D41*'Comparison Setup'!C8)</f>
        <v/>
      </c>
      <c r="D42" s="28" t="str">
        <f>IF(A42="","",D41+C42+B42)</f>
        <v/>
      </c>
      <c r="E42" s="28" t="str">
        <f>IF(A42="","",E41*(1+'Comparison Setup'!C8)+B42)</f>
        <v/>
      </c>
      <c r="F42" s="28" t="str">
        <f>IF(A42="","",D42*(1-'Comparison Setup'!C7))</f>
        <v/>
      </c>
      <c r="G42" s="28" t="str">
        <f>IF(A42="","",E42)</f>
        <v/>
      </c>
      <c r="H42" s="28" t="str">
        <f>IF(A42="","",G42-F42)</f>
        <v/>
      </c>
    </row>
    <row r="43" ht="26" customHeight="1" spans="1:8" x14ac:dyDescent="0.25">
      <c r="A43" s="25" t="str">
        <f>IF('Comparison Setup'!C9&gt;=39,39,"")</f>
        <v/>
      </c>
      <c r="B43" s="26" t="str">
        <f>IF(A43="","",'Comparison Setup'!C5)</f>
        <v/>
      </c>
      <c r="C43" s="26" t="str">
        <f>IF(A43="","",D42*'Comparison Setup'!C8)</f>
        <v/>
      </c>
      <c r="D43" s="26" t="str">
        <f>IF(A43="","",D42+C43+B43)</f>
        <v/>
      </c>
      <c r="E43" s="26" t="str">
        <f>IF(A43="","",E42*(1+'Comparison Setup'!C8)+B43)</f>
        <v/>
      </c>
      <c r="F43" s="26" t="str">
        <f>IF(A43="","",D43*(1-'Comparison Setup'!C7))</f>
        <v/>
      </c>
      <c r="G43" s="26" t="str">
        <f>IF(A43="","",E43)</f>
        <v/>
      </c>
      <c r="H43" s="26" t="str">
        <f>IF(A43="","",G43-F43)</f>
        <v/>
      </c>
    </row>
    <row r="44" ht="26" customHeight="1" spans="1:8" x14ac:dyDescent="0.25">
      <c r="A44" s="27" t="str">
        <f>IF('Comparison Setup'!C9&gt;=40,40,"")</f>
        <v/>
      </c>
      <c r="B44" s="28" t="str">
        <f>IF(A44="","",'Comparison Setup'!C5)</f>
        <v/>
      </c>
      <c r="C44" s="28" t="str">
        <f>IF(A44="","",D43*'Comparison Setup'!C8)</f>
        <v/>
      </c>
      <c r="D44" s="28" t="str">
        <f>IF(A44="","",D43+C44+B44)</f>
        <v/>
      </c>
      <c r="E44" s="28" t="str">
        <f>IF(A44="","",E43*(1+'Comparison Setup'!C8)+B44)</f>
        <v/>
      </c>
      <c r="F44" s="28" t="str">
        <f>IF(A44="","",D44*(1-'Comparison Setup'!C7))</f>
        <v/>
      </c>
      <c r="G44" s="28" t="str">
        <f>IF(A44="","",E44)</f>
        <v/>
      </c>
      <c r="H44" s="28" t="str">
        <f>IF(A44="","",G44-F44)</f>
        <v/>
      </c>
    </row>
    <row r="45" ht="14" customHeight="1" x14ac:dyDescent="0.25"/>
    <row r="46" ht="6" customHeight="1" x14ac:dyDescent="0.25"/>
    <row r="47" ht="20" customHeight="1" spans="1:8" x14ac:dyDescent="0.25">
      <c r="A47" s="11" t="s">
        <v>12</v>
      </c>
      <c r="B47" s="11"/>
      <c r="C47" s="11"/>
      <c r="D47" s="11"/>
      <c r="E47" s="11"/>
      <c r="F47" s="11"/>
      <c r="G47" s="11"/>
      <c r="H47" s="11"/>
    </row>
    <row r="48" ht="20" customHeight="1" spans="1:8" x14ac:dyDescent="0.25">
      <c r="A48" s="12" t="s">
        <v>13</v>
      </c>
      <c r="B48" s="12"/>
      <c r="C48" s="12"/>
      <c r="D48" s="12"/>
      <c r="E48" s="12"/>
      <c r="F48" s="12"/>
      <c r="G48" s="12"/>
      <c r="H48" s="12"/>
    </row>
  </sheetData>
  <sheetProtection sheet="1"/>
  <mergeCells count="4">
    <mergeCell ref="A1:H1"/>
    <mergeCell ref="A2:H2"/>
    <mergeCell ref="A47:H47"/>
    <mergeCell ref="A48:H48"/>
  </mergeCells>
  <hyperlinks>
    <hyperlink ref="A48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EEF0F7"/>
    <pageSetUpPr fitToPage="1"/>
  </sheetPr>
  <dimension ref="A1:B51"/>
  <sheetViews>
    <sheetView workbookViewId="0" showGridLines="0" zoomScale="125"/>
  </sheetViews>
  <sheetFormatPr defaultRowHeight="15" outlineLevelRow="0" outlineLevelCol="0" x14ac:dyDescent="55"/>
  <cols>
    <col min="1" max="1" width="4" customWidth="1"/>
    <col min="2" max="2" width="80" customWidth="1"/>
  </cols>
  <sheetData>
    <row r="1" ht="48" customHeight="1" spans="1:2" x14ac:dyDescent="0.25">
      <c r="A1" s="29" t="s">
        <v>64</v>
      </c>
      <c r="B1" s="29"/>
    </row>
    <row r="2" ht="24" customHeight="1" spans="1:2" x14ac:dyDescent="0.25">
      <c r="A2" s="30" t="s">
        <v>65</v>
      </c>
      <c r="B2" s="30"/>
    </row>
    <row r="3" ht="14" customHeight="1" x14ac:dyDescent="0.25"/>
    <row r="4" ht="28" customHeight="1" spans="1:2" x14ac:dyDescent="0.25">
      <c r="A4" s="31" t="s">
        <v>66</v>
      </c>
      <c r="B4" s="10"/>
    </row>
    <row r="6" ht="24" customHeight="1" spans="2:2" x14ac:dyDescent="0.25">
      <c r="B6" s="32" t="s">
        <v>67</v>
      </c>
    </row>
    <row r="7" ht="24" customHeight="1" spans="2:2" x14ac:dyDescent="0.25">
      <c r="B7" s="32" t="s">
        <v>68</v>
      </c>
    </row>
    <row r="8" ht="24" customHeight="1" spans="2:2" x14ac:dyDescent="0.25">
      <c r="B8" s="32" t="s">
        <v>69</v>
      </c>
    </row>
    <row r="9" ht="24" customHeight="1" spans="2:2" x14ac:dyDescent="0.25">
      <c r="B9" s="32" t="s">
        <v>70</v>
      </c>
    </row>
    <row r="10" ht="24" customHeight="1" spans="2:2" x14ac:dyDescent="0.25">
      <c r="B10" s="32" t="s">
        <v>71</v>
      </c>
    </row>
    <row r="11" ht="12" customHeight="1" x14ac:dyDescent="0.25"/>
    <row r="12" ht="28" customHeight="1" spans="1:2" x14ac:dyDescent="0.25">
      <c r="A12" s="31" t="s">
        <v>72</v>
      </c>
      <c r="B12" s="10"/>
    </row>
    <row r="14" ht="24" customHeight="1" spans="2:2" x14ac:dyDescent="0.25">
      <c r="B14" s="32" t="s">
        <v>73</v>
      </c>
    </row>
    <row r="15" ht="24" customHeight="1" spans="2:2" x14ac:dyDescent="0.25">
      <c r="B15" s="32" t="s">
        <v>74</v>
      </c>
    </row>
    <row r="16" ht="24" customHeight="1" spans="2:2" x14ac:dyDescent="0.25">
      <c r="B16" s="32" t="s">
        <v>75</v>
      </c>
    </row>
    <row r="17" ht="24" customHeight="1" spans="2:2" x14ac:dyDescent="0.25">
      <c r="B17" s="32" t="s">
        <v>76</v>
      </c>
    </row>
    <row r="18" ht="24" customHeight="1" spans="2:2" x14ac:dyDescent="0.25">
      <c r="B18" s="32" t="s">
        <v>77</v>
      </c>
    </row>
    <row r="19" ht="12" customHeight="1" x14ac:dyDescent="0.25"/>
    <row r="20" ht="28" customHeight="1" spans="1:2" x14ac:dyDescent="0.25">
      <c r="A20" s="31" t="s">
        <v>78</v>
      </c>
      <c r="B20" s="10"/>
    </row>
    <row r="22" ht="24" customHeight="1" spans="2:2" x14ac:dyDescent="0.25">
      <c r="B22" s="32" t="s">
        <v>79</v>
      </c>
    </row>
    <row r="23" ht="24" customHeight="1" spans="2:2" x14ac:dyDescent="0.25">
      <c r="B23" s="32" t="s">
        <v>80</v>
      </c>
    </row>
    <row r="24" ht="24" customHeight="1" spans="2:2" x14ac:dyDescent="0.25">
      <c r="B24" s="32" t="s">
        <v>81</v>
      </c>
    </row>
    <row r="25" ht="24" customHeight="1" spans="2:2" x14ac:dyDescent="0.25">
      <c r="B25" s="32" t="s">
        <v>82</v>
      </c>
    </row>
    <row r="26" ht="24" customHeight="1" spans="2:2" x14ac:dyDescent="0.25">
      <c r="B26" s="32" t="s">
        <v>83</v>
      </c>
    </row>
    <row r="27" ht="12" customHeight="1" x14ac:dyDescent="0.25"/>
    <row r="28" ht="28" customHeight="1" spans="1:2" x14ac:dyDescent="0.25">
      <c r="A28" s="31" t="s">
        <v>84</v>
      </c>
      <c r="B28" s="10"/>
    </row>
    <row r="30" ht="24" customHeight="1" spans="2:2" x14ac:dyDescent="0.25">
      <c r="B30" s="32" t="s">
        <v>85</v>
      </c>
    </row>
    <row r="31" ht="24" customHeight="1" spans="2:2" x14ac:dyDescent="0.25">
      <c r="B31" s="32" t="s">
        <v>86</v>
      </c>
    </row>
    <row r="32" ht="24" customHeight="1" spans="2:2" x14ac:dyDescent="0.25">
      <c r="B32" s="32" t="s">
        <v>87</v>
      </c>
    </row>
    <row r="33" ht="24" customHeight="1" spans="2:2" x14ac:dyDescent="0.25">
      <c r="B33" s="32" t="s">
        <v>88</v>
      </c>
    </row>
    <row r="34" ht="24" customHeight="1" spans="2:2" x14ac:dyDescent="0.25">
      <c r="B34" s="32" t="s">
        <v>89</v>
      </c>
    </row>
    <row r="35" ht="12" customHeight="1" x14ac:dyDescent="0.25"/>
    <row r="36" ht="28" customHeight="1" spans="1:2" x14ac:dyDescent="0.25">
      <c r="A36" s="31" t="s">
        <v>90</v>
      </c>
      <c r="B36" s="10"/>
    </row>
    <row r="38" ht="24" customHeight="1" spans="2:2" x14ac:dyDescent="0.25">
      <c r="B38" s="32" t="s">
        <v>91</v>
      </c>
    </row>
    <row r="39" ht="24" customHeight="1" spans="2:2" x14ac:dyDescent="0.25">
      <c r="B39" s="32" t="s">
        <v>92</v>
      </c>
    </row>
    <row r="40" ht="24" customHeight="1" spans="2:2" x14ac:dyDescent="0.25">
      <c r="B40" s="32" t="s">
        <v>93</v>
      </c>
    </row>
    <row r="41" ht="24" customHeight="1" spans="2:2" x14ac:dyDescent="0.25">
      <c r="B41" s="32" t="s">
        <v>94</v>
      </c>
    </row>
    <row r="42" ht="12" customHeight="1" x14ac:dyDescent="0.25"/>
    <row r="43" ht="28" customHeight="1" spans="1:2" x14ac:dyDescent="0.25">
      <c r="A43" s="31" t="s">
        <v>95</v>
      </c>
      <c r="B43" s="10"/>
    </row>
    <row r="45" ht="24" customHeight="1" spans="2:2" x14ac:dyDescent="0.25">
      <c r="B45" s="32" t="s">
        <v>96</v>
      </c>
    </row>
    <row r="46" ht="24" customHeight="1" spans="2:2" x14ac:dyDescent="0.25">
      <c r="B46" s="32" t="s">
        <v>97</v>
      </c>
    </row>
    <row r="47" ht="24" customHeight="1" spans="2:2" x14ac:dyDescent="0.25">
      <c r="B47" s="32" t="s">
        <v>98</v>
      </c>
    </row>
    <row r="48" ht="12" customHeight="1" x14ac:dyDescent="0.25"/>
    <row r="49" ht="6" customHeight="1" x14ac:dyDescent="0.25"/>
    <row r="50" ht="20" customHeight="1" spans="1:2" x14ac:dyDescent="0.25">
      <c r="A50" s="33" t="s">
        <v>12</v>
      </c>
      <c r="B50" s="33"/>
    </row>
    <row r="51" ht="20" customHeight="1" spans="1:2" x14ac:dyDescent="0.25">
      <c r="A51" s="34" t="s">
        <v>13</v>
      </c>
      <c r="B51" s="34"/>
    </row>
  </sheetData>
  <mergeCells count="4">
    <mergeCell ref="A1:B1"/>
    <mergeCell ref="A2:B2"/>
    <mergeCell ref="A50:B50"/>
    <mergeCell ref="A51:B51"/>
  </mergeCells>
  <hyperlinks>
    <hyperlink ref="A51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Dashboard</vt:lpstr>
      <vt:lpstr>Comparison Setup</vt:lpstr>
      <vt:lpstr>Projection Table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Traditional vs Roth IRA Calculator</dc:title>
  <dc:subject>Financial Template</dc:subject>
  <dc:description>Free Traditional vs Roth IRA Calculator template by FinancialAha.com</dc:description>
  <cp:keywords>finance, template, spreadsheet, FinancialAha</cp:keywords>
  <cp:category>Finance</cp:category>
  <cp:lastModifiedBy>Unknown</cp:lastModifiedBy>
  <cp:lastPrinted>2026-04-01T18:02:09Z</cp:lastPrinted>
  <dcterms:created xsi:type="dcterms:W3CDTF">2026-04-01T18:02:09Z</dcterms:created>
  <dcterms:modified xsi:type="dcterms:W3CDTF">2026-04-01T18:02:09Z</dcterms:modified>
</cp:coreProperties>
</file>