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Retirement Setup" state="visible" r:id="rId5"/>
    <sheet sheetId="3" name="Projection Tab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<sst xmlns="http://schemas.openxmlformats.org/spreadsheetml/2006/main" count="145" uniqueCount="139">
  <si>
    <t>Retirement Calculator</t>
  </si>
  <si>
    <t>Project your retirement savings growth and income needs</t>
  </si>
  <si>
    <t>by FinancialAha.com</t>
  </si>
  <si>
    <t>PROJECTED SAVINGS</t>
  </si>
  <si>
    <t>MONTHLY INCOME</t>
  </si>
  <si>
    <t>YEARS TO RETIREMENT</t>
  </si>
  <si>
    <t>at retirement age</t>
  </si>
  <si>
    <t>savings + Social Security</t>
  </si>
  <si>
    <t>until retirement begins</t>
  </si>
  <si>
    <t>SAVINGS GAP</t>
  </si>
  <si>
    <t>REQUIRED MONTHLY</t>
  </si>
  <si>
    <t>CURRENT SAVINGS RATE</t>
  </si>
  <si>
    <t>additional needed at retirement</t>
  </si>
  <si>
    <t>to close the gap</t>
  </si>
  <si>
    <t>of gross income</t>
  </si>
  <si>
    <t>SAVINGS GROWTH PROJECTION</t>
  </si>
  <si>
    <t>RETIREMENT INCOME SOURCES</t>
  </si>
  <si>
    <t>Created with FinancialAha.com - Free financial tools and templates</t>
  </si>
  <si>
    <t>Get a premium spreadsheet from FinancialAha.com</t>
  </si>
  <si>
    <t/>
  </si>
  <si>
    <t>Age 35</t>
  </si>
  <si>
    <t>Age 40</t>
  </si>
  <si>
    <t>Age 45</t>
  </si>
  <si>
    <t>Age 50</t>
  </si>
  <si>
    <t>Age 55</t>
  </si>
  <si>
    <t>Age 60</t>
  </si>
  <si>
    <t>Age 65</t>
  </si>
  <si>
    <t>Age 70</t>
  </si>
  <si>
    <t>Age 75</t>
  </si>
  <si>
    <t>Age 80</t>
  </si>
  <si>
    <t>Age 85</t>
  </si>
  <si>
    <t>Age 90</t>
  </si>
  <si>
    <t>Savings Balance</t>
  </si>
  <si>
    <t>Income</t>
  </si>
  <si>
    <t>Social Security</t>
  </si>
  <si>
    <t>Savings Income</t>
  </si>
  <si>
    <t>Gap/Shortfall</t>
  </si>
  <si>
    <t>Annual Amount</t>
  </si>
  <si>
    <t>Retirement Setup</t>
  </si>
  <si>
    <t>Enter your details in the yellow cells. All projections update automatically.</t>
  </si>
  <si>
    <t>YOUR INFORMATION</t>
  </si>
  <si>
    <t>Current Age</t>
  </si>
  <si>
    <t>Your age today</t>
  </si>
  <si>
    <t>Retirement Age</t>
  </si>
  <si>
    <t>When you plan to retire</t>
  </si>
  <si>
    <t>Life Expectancy</t>
  </si>
  <si>
    <t>Plan to age (85-95 is common)</t>
  </si>
  <si>
    <t>Current Savings</t>
  </si>
  <si>
    <t>Total retirement savings today</t>
  </si>
  <si>
    <t>Monthly Contribution</t>
  </si>
  <si>
    <t>Your monthly savings amount</t>
  </si>
  <si>
    <t>Expected Annual Return</t>
  </si>
  <si>
    <t>7% is a common long-term average</t>
  </si>
  <si>
    <t>Inflation Rate</t>
  </si>
  <si>
    <t>3% is a typical assumption</t>
  </si>
  <si>
    <t>Desired Monthly Income</t>
  </si>
  <si>
    <t>In today's dollars</t>
  </si>
  <si>
    <t>Social Security (Monthly)</t>
  </si>
  <si>
    <t>Estimated monthly benefit</t>
  </si>
  <si>
    <t>Social Security Start Age</t>
  </si>
  <si>
    <t>Age when benefits begin (62-70)</t>
  </si>
  <si>
    <t>Employer Match Rate</t>
  </si>
  <si>
    <t>Match percentage (e.g., 50%)</t>
  </si>
  <si>
    <t>Employer Match Up To</t>
  </si>
  <si>
    <t>Of salary (e.g., 6%)</t>
  </si>
  <si>
    <t>CALCULATED RESULTS</t>
  </si>
  <si>
    <t>Years to Retirement</t>
  </si>
  <si>
    <t>Projected Savings at Retirement</t>
  </si>
  <si>
    <t>Real Return Rate</t>
  </si>
  <si>
    <t>Return adjusted for inflation</t>
  </si>
  <si>
    <t>Inflation-Adj. Monthly Need</t>
  </si>
  <si>
    <t>Monthly need at retirement</t>
  </si>
  <si>
    <t>Savings Gap</t>
  </si>
  <si>
    <t>Additional savings needed</t>
  </si>
  <si>
    <t>Required Monthly to Close Gap</t>
  </si>
  <si>
    <t>Extra monthly savings needed</t>
  </si>
  <si>
    <t>Year-by-Year Retirement Projection</t>
  </si>
  <si>
    <t>Accumulation phase followed by drawdown phase. All values update from the Setup sheet.</t>
  </si>
  <si>
    <t>Year</t>
  </si>
  <si>
    <t>Age</t>
  </si>
  <si>
    <t>Starting Balance</t>
  </si>
  <si>
    <t>Contrib./Withdrawals</t>
  </si>
  <si>
    <t>Growth</t>
  </si>
  <si>
    <t>Ending Balance</t>
  </si>
  <si>
    <t>How to Use This Template</t>
  </si>
  <si>
    <t>A quick guide to getting the most from your Retirement Calculator.</t>
  </si>
  <si>
    <t>GETTING STARTED</t>
  </si>
  <si>
    <t>1. Go to the "Retirement Setup" sheet</t>
  </si>
  <si>
    <t>2. Enter your details in the yellow cells - age, savings, contributions, and goals</t>
  </si>
  <si>
    <t>3. The Projection Table updates automatically with year-by-year projections</t>
  </si>
  <si>
    <t>4. Check the Dashboard for a visual overview of your retirement outlook</t>
  </si>
  <si>
    <t>5. Adjust inputs to explore different scenarios (earlier retirement, higher savings, etc.)</t>
  </si>
  <si>
    <t>UNDERSTANDING THE INPUTS</t>
  </si>
  <si>
    <t>Current Age: Your age today - the starting point for all projections.</t>
  </si>
  <si>
    <t>Retirement Age: When you plan to stop working and start drawing down savings.</t>
  </si>
  <si>
    <t>Life Expectancy: How long to plan for - 90 is a conservative estimate.</t>
  </si>
  <si>
    <t>Current Savings: Total retirement accounts today (401k, IRA, etc.).</t>
  </si>
  <si>
    <t>Monthly Contribution: How much you save each month toward retirement.</t>
  </si>
  <si>
    <t>Expected Annual Return: Average investment return - 7% is a common stock market assumption.</t>
  </si>
  <si>
    <t>Inflation Rate: How fast prices rise - 3% is typical.</t>
  </si>
  <si>
    <t>Desired Monthly Income: What you want to spend monthly in retirement (in today's dollars).</t>
  </si>
  <si>
    <t>Social Security: Your estimated monthly benefit and the age it begins.</t>
  </si>
  <si>
    <t>Employer Match: Your employer's matching contribution (e.g., 50% match up to 6% of salary).</t>
  </si>
  <si>
    <t>UNDERSTANDING THE PROJECTION TABLE</t>
  </si>
  <si>
    <t>The table shows two phases: accumulation (saving) and drawdown (spending).</t>
  </si>
  <si>
    <t>During accumulation, contributions grow your balance alongside investment returns.</t>
  </si>
  <si>
    <t>At retirement age, contributions stop and withdrawals begin.</t>
  </si>
  <si>
    <t>Withdrawals are inflation-adjusted - they increase each year to maintain purchasing power.</t>
  </si>
  <si>
    <t>Social Security kicks in at the age you specified, reducing the amount drawn from savings.</t>
  </si>
  <si>
    <t>The highlighted row marks the transition from saving to spending.</t>
  </si>
  <si>
    <t>If the ending balance reaches $0, it means savings would run out at that age.</t>
  </si>
  <si>
    <t>UNDERSTANDING THE DASHBOARD</t>
  </si>
  <si>
    <t>Projected Savings: Your estimated balance at retirement age.</t>
  </si>
  <si>
    <t>Monthly Income: Combined income from savings returns and Social Security.</t>
  </si>
  <si>
    <t>Years to Retirement: How long until you reach your target retirement age.</t>
  </si>
  <si>
    <t>Savings Gap: How much more you would need to fully fund your retirement goal.</t>
  </si>
  <si>
    <t>Required Monthly: The extra monthly savings needed to close the gap.</t>
  </si>
  <si>
    <t>Current Savings Rate: Your contribution as a percentage of estimated gross income.</t>
  </si>
  <si>
    <t>The line chart shows how your savings grow during accumulation and decrease during drawdown.</t>
  </si>
  <si>
    <t>The pie chart shows the breakdown of retirement income sources.</t>
  </si>
  <si>
    <t>SCENARIOS TO TRY</t>
  </si>
  <si>
    <t>What if I retire 5 years earlier or later? Change the Retirement Age.</t>
  </si>
  <si>
    <t>What if I save more each month? Increase the Monthly Contribution.</t>
  </si>
  <si>
    <t>What if the market returns less? Lower the Expected Annual Return to 5% or 6%.</t>
  </si>
  <si>
    <t>What if inflation is higher? Try 4% instead of 3%.</t>
  </si>
  <si>
    <t>What if I need more income? Increase the Desired Monthly Income.</t>
  </si>
  <si>
    <t>COLOR CODING</t>
  </si>
  <si>
    <t>Yellow cells with a gold border are editable inputs - enter your data here.</t>
  </si>
  <si>
    <t>Green-tinted cells are calculated results - formulas update automatically.</t>
  </si>
  <si>
    <t>The highlighted row in the Projection Table marks the start of retirement.</t>
  </si>
  <si>
    <t>IMPORTANT NOTES</t>
  </si>
  <si>
    <t>This calculator provides estimates based on simplified assumptions.</t>
  </si>
  <si>
    <t>Actual returns vary year to year - this uses a constant average return.</t>
  </si>
  <si>
    <t>Tax implications are not included - consider consulting a tax professional.</t>
  </si>
  <si>
    <t>Social Security benefits may change - check ssa.gov for your latest estimate.</t>
  </si>
  <si>
    <t>Healthcare costs and other retirement-specific expenses are not modeled separately.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</si>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</sst>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B91C1C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8" fillId="0" borderId="2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9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7" fillId="3" borderId="6" xfId="0" applyNumberFormat="1" applyFont="1" applyFill="1" applyBorder="1" applyAlignment="1" applyProtection="1">
      <alignment horizontal="right" vertical="center"/>
    </xf>
    <xf numFmtId="164" fontId="17" fillId="3" borderId="6" xfId="0" applyNumberFormat="1" applyFont="1" applyFill="1" applyBorder="1" applyAlignment="1" applyProtection="1">
      <alignment horizontal="right" vertical="center"/>
    </xf>
    <xf numFmtId="10" fontId="17" fillId="3" borderId="6" xfId="0" applyNumberFormat="1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 wrapText="1" indent="1"/>
    </xf>
    <xf numFmtId="0" fontId="18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4" fontId="16" fillId="5" borderId="7" xfId="0" applyNumberFormat="1" applyFont="1" applyFill="1" applyBorder="1" applyAlignment="1" applyProtection="1">
      <alignment horizontal="right" vertical="center"/>
    </xf>
    <xf numFmtId="0" fontId="16" fillId="3" borderId="7" xfId="0" applyFont="1" applyFill="1" applyBorder="1" applyAlignment="1" applyProtection="1">
      <alignment vertical="center" indent="1"/>
    </xf>
    <xf numFmtId="164" fontId="16" fillId="3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Savings Growth Projection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Dashboard!$B$47</c:f>
              <c:strCache>
                <c:ptCount val="1"/>
                <c:pt idx="0">
                  <c:v>Savings 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Dashboard!$C$46:$N$46</c:f>
              <c:strCache>
                <c:ptCount val="12"/>
                <c:pt idx="0">
                  <c:v>Age 35</c:v>
                </c:pt>
                <c:pt idx="1">
                  <c:v>Age 40</c:v>
                </c:pt>
                <c:pt idx="2">
                  <c:v>Age 45</c:v>
                </c:pt>
                <c:pt idx="3">
                  <c:v>Age 50</c:v>
                </c:pt>
                <c:pt idx="4">
                  <c:v>Age 55</c:v>
                </c:pt>
                <c:pt idx="5">
                  <c:v>Age 60</c:v>
                </c:pt>
                <c:pt idx="6">
                  <c:v>Age 65</c:v>
                </c:pt>
                <c:pt idx="7">
                  <c:v>Age 70</c:v>
                </c:pt>
                <c:pt idx="8">
                  <c:v>Age 75</c:v>
                </c:pt>
                <c:pt idx="9">
                  <c:v>Age 80</c:v>
                </c:pt>
                <c:pt idx="10">
                  <c:v>Age 85</c:v>
                </c:pt>
                <c:pt idx="11">
                  <c:v>Age 90</c:v>
                </c:pt>
              </c:strCache>
            </c:strRef>
          </c:cat>
          <c:val>
            <c:numRef>
              <c:f>Dashboard!$C$47:$N$47</c:f>
              <c:numCache>
                <c:formatCode>$#,##0</c:formatCode>
                <c:ptCount val="12"/>
                <c:pt idx="0">
                  <c:v>95000</c:v>
                </c:pt>
                <c:pt idx="1">
                  <c:v>216053</c:v>
                </c:pt>
                <c:pt idx="2">
                  <c:v>385836</c:v>
                </c:pt>
                <c:pt idx="3">
                  <c:v>623966</c:v>
                </c:pt>
                <c:pt idx="4">
                  <c:v>957955</c:v>
                </c:pt>
                <c:pt idx="5">
                  <c:v>1426392</c:v>
                </c:pt>
                <c:pt idx="6">
                  <c:v>2083400</c:v>
                </c:pt>
                <c:pt idx="7">
                  <c:v>2699584</c:v>
                </c:pt>
                <c:pt idx="8">
                  <c:v>3572092</c:v>
                </c:pt>
                <c:pt idx="9">
                  <c:v>4741926</c:v>
                </c:pt>
                <c:pt idx="10">
                  <c:v>6320190</c:v>
                </c:pt>
                <c:pt idx="11">
                  <c:v>8461346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Retirement Income Sources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Annual 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Dashboard!$C$48:$E$48</c:f>
              <c:strCache>
                <c:ptCount val="3"/>
                <c:pt idx="0">
                  <c:v>Social Security</c:v>
                </c:pt>
                <c:pt idx="1">
                  <c:v>Savings Income</c:v>
                </c:pt>
                <c:pt idx="2">
                  <c:v>Gap/Shortfall</c:v>
                </c:pt>
              </c:strCache>
            </c:strRef>
          </c:cat>
          <c:val>
            <c:numRef>
              <c:f>Dashboard!$C$49:$E$49</c:f>
              <c:numCache>
                <c:formatCode>$#,##0</c:formatCode>
                <c:ptCount val="3"/>
                <c:pt idx="0">
                  <c:v>21600</c:v>
                </c:pt>
                <c:pt idx="1">
                  <c:v>80909</c:v>
                </c:pt>
                <c:pt idx="2">
                  <c:v>14000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4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'Retirement Setup'!E25</f>
        <v>2083400</v>
      </c>
      <c r="C5" s="5"/>
      <c r="E5" s="6">
        <f>IFERROR('Retirement Setup'!E25*'Retirement Setup'!E26/12+'Retirement Setup'!E17,0)</f>
        <v>8542</v>
      </c>
      <c r="F5" s="6"/>
      <c r="H5" s="7">
        <f>'Retirement Setup'!E24</f>
        <v>30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'Retirement Setup'!E28</f>
        <v>916696</v>
      </c>
      <c r="C9" s="9"/>
      <c r="E9" s="6">
        <f>'Retirement Setup'!E29</f>
        <v>751</v>
      </c>
      <c r="F9" s="6"/>
      <c r="H9" s="10">
        <f>IFERROR('Retirement Setup'!E12/('Retirement Setup'!E12/'Retirement Setup'!E20),0)</f>
        <v>0.15</v>
      </c>
      <c r="I9" s="10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16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4" customHeight="1" x14ac:dyDescent="0.25"/>
    <row r="43" ht="6" customHeight="1" x14ac:dyDescent="0.25"/>
    <row r="44" ht="20" customHeight="1" spans="1:9" x14ac:dyDescent="0.25">
      <c r="A44" s="13" t="s">
        <v>17</v>
      </c>
      <c r="B44" s="13"/>
      <c r="C44" s="13"/>
      <c r="D44" s="13"/>
      <c r="E44" s="13"/>
      <c r="F44" s="13"/>
      <c r="G44" s="13"/>
      <c r="H44" s="13"/>
      <c r="I44" s="13"/>
    </row>
    <row r="45" ht="20" customHeight="1" spans="1:9" x14ac:dyDescent="0.25">
      <c r="A45" s="14" t="s">
        <v>18</v>
      </c>
      <c r="B45" s="14"/>
      <c r="C45" s="14"/>
      <c r="D45" s="14"/>
      <c r="E45" s="14"/>
      <c r="F45" s="14"/>
      <c r="G45" s="14"/>
      <c r="H45" s="14"/>
      <c r="I45" s="14"/>
    </row>
    <row r="46" ht="1" customHeight="1" spans="2:14" x14ac:dyDescent="0.25">
      <c r="B46" s="15" t="s">
        <v>19</v>
      </c>
      <c r="C46" s="15" t="s">
        <v>20</v>
      </c>
      <c r="D46" s="15" t="s">
        <v>21</v>
      </c>
      <c r="E46" s="15" t="s">
        <v>22</v>
      </c>
      <c r="F46" s="15" t="s">
        <v>23</v>
      </c>
      <c r="G46" s="15" t="s">
        <v>24</v>
      </c>
      <c r="H46" s="15" t="s">
        <v>25</v>
      </c>
      <c r="I46" s="15" t="s">
        <v>26</v>
      </c>
      <c r="J46" s="15" t="s">
        <v>27</v>
      </c>
      <c r="K46" s="15" t="s">
        <v>28</v>
      </c>
      <c r="L46" s="15" t="s">
        <v>29</v>
      </c>
      <c r="M46" s="15" t="s">
        <v>30</v>
      </c>
      <c r="N46" s="15" t="s">
        <v>31</v>
      </c>
    </row>
    <row r="47" ht="1" customHeight="1" spans="2:14" x14ac:dyDescent="0.25">
      <c r="B47" s="15" t="s">
        <v>32</v>
      </c>
      <c r="C47" s="15">
        <f>'Retirement Setup'!E11</f>
        <v>95000</v>
      </c>
      <c r="D47" s="15">
        <f>IFERROR('Projection Table'!F9,0)</f>
        <v>216053</v>
      </c>
      <c r="E47" s="15">
        <f>IFERROR('Projection Table'!F14,0)</f>
        <v>385836</v>
      </c>
      <c r="F47" s="15">
        <f>IFERROR('Projection Table'!F19,0)</f>
        <v>623966</v>
      </c>
      <c r="G47" s="15">
        <f>IFERROR('Projection Table'!F24,0)</f>
        <v>957955</v>
      </c>
      <c r="H47" s="15">
        <f>IFERROR('Projection Table'!F29,0)</f>
        <v>1426392</v>
      </c>
      <c r="I47" s="15">
        <f>IFERROR('Projection Table'!F34,0)</f>
        <v>2083400</v>
      </c>
      <c r="J47" s="15">
        <f>IFERROR('Projection Table'!F39,0)</f>
        <v>2699584</v>
      </c>
      <c r="K47" s="15">
        <f>IFERROR('Projection Table'!F44,0)</f>
        <v>3572092</v>
      </c>
      <c r="L47" s="15">
        <f>IFERROR('Projection Table'!F49,0)</f>
        <v>4741926</v>
      </c>
      <c r="M47" s="15">
        <f>IFERROR('Projection Table'!F54,0)</f>
        <v>6320190</v>
      </c>
      <c r="N47" s="15">
        <f>IFERROR('Projection Table'!F59,0)</f>
        <v>8461346</v>
      </c>
    </row>
    <row r="48" ht="1" customHeight="1" spans="2:5" x14ac:dyDescent="0.25">
      <c r="B48" s="15" t="s">
        <v>33</v>
      </c>
      <c r="C48" s="15" t="s">
        <v>34</v>
      </c>
      <c r="D48" s="15" t="s">
        <v>35</v>
      </c>
      <c r="E48" s="15" t="s">
        <v>36</v>
      </c>
    </row>
    <row r="49" ht="1" customHeight="1" spans="2:5" x14ac:dyDescent="0.25">
      <c r="B49" s="15" t="s">
        <v>37</v>
      </c>
      <c r="C49" s="15">
        <f>'Retirement Setup'!E17*12</f>
        <v>21600</v>
      </c>
      <c r="D49" s="15">
        <f>IFERROR('Retirement Setup'!E25*'Retirement Setup'!E26,0)</f>
        <v>80909</v>
      </c>
      <c r="E49" s="15">
        <f>MAX(0,'Retirement Setup'!E27*12-'Retirement Setup'!E17*12-IFERROR('Retirement Setup'!E25*'Retirement Setup'!E26,0))</f>
        <v>14000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4:I44"/>
    <mergeCell ref="A45:I45"/>
  </mergeCells>
  <hyperlinks>
    <hyperlink ref="G2" r:id="rId1"/>
    <hyperlink ref="A4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6" customWidth="1"/>
    <col min="3" max="3" width="28" customWidth="1"/>
    <col min="4" max="4" width="3" customWidth="1"/>
    <col min="5" max="5" width="18" customWidth="1"/>
    <col min="6" max="6" width="28" customWidth="1"/>
    <col min="8" max="8" width="20" customWidth="1"/>
  </cols>
  <sheetData>
    <row r="1" ht="48" customHeight="1" spans="2:6" x14ac:dyDescent="0.25">
      <c r="B1" s="16" t="s">
        <v>38</v>
      </c>
      <c r="C1" s="16"/>
      <c r="D1" s="16"/>
      <c r="E1" s="16"/>
      <c r="F1" s="16"/>
    </row>
    <row r="2" ht="24" customHeight="1" spans="2:6" x14ac:dyDescent="0.25">
      <c r="B2" s="17" t="s">
        <v>39</v>
      </c>
      <c r="C2" s="17"/>
      <c r="D2" s="17"/>
      <c r="E2" s="17"/>
      <c r="F2" s="17"/>
    </row>
    <row r="3" ht="14" customHeight="1" x14ac:dyDescent="0.25"/>
    <row r="4" ht="28" customHeight="1" spans="1:6" x14ac:dyDescent="0.25">
      <c r="A4" s="11" t="s">
        <v>40</v>
      </c>
      <c r="B4" s="12"/>
      <c r="C4" s="12"/>
      <c r="D4" s="12"/>
      <c r="E4" s="12"/>
      <c r="F4" s="12"/>
    </row>
    <row r="5" ht="6" customHeight="1" x14ac:dyDescent="0.25"/>
    <row r="7" ht="26" customHeight="1" spans="3:6" x14ac:dyDescent="0.25">
      <c r="C7" s="18" t="s">
        <v>41</v>
      </c>
      <c r="E7" s="19">
        <v>35</v>
      </c>
      <c r="F7" s="17" t="s">
        <v>42</v>
      </c>
    </row>
    <row r="8" ht="26" customHeight="1" spans="3:6" x14ac:dyDescent="0.25">
      <c r="C8" s="18" t="s">
        <v>43</v>
      </c>
      <c r="E8" s="19">
        <v>65</v>
      </c>
      <c r="F8" s="17" t="s">
        <v>44</v>
      </c>
    </row>
    <row r="9" ht="26" customHeight="1" spans="3:6" x14ac:dyDescent="0.25">
      <c r="C9" s="18" t="s">
        <v>45</v>
      </c>
      <c r="E9" s="19">
        <v>90</v>
      </c>
      <c r="F9" s="17" t="s">
        <v>46</v>
      </c>
    </row>
    <row r="10" ht="8" customHeight="1" x14ac:dyDescent="0.25"/>
    <row r="11" ht="26" customHeight="1" spans="3:6" x14ac:dyDescent="0.25">
      <c r="C11" s="18" t="s">
        <v>47</v>
      </c>
      <c r="E11" s="20">
        <v>95000</v>
      </c>
      <c r="F11" s="17" t="s">
        <v>48</v>
      </c>
    </row>
    <row r="12" ht="26" customHeight="1" spans="3:6" x14ac:dyDescent="0.25">
      <c r="C12" s="18" t="s">
        <v>49</v>
      </c>
      <c r="E12" s="20">
        <v>800</v>
      </c>
      <c r="F12" s="17" t="s">
        <v>50</v>
      </c>
    </row>
    <row r="13" ht="26" customHeight="1" spans="3:6" x14ac:dyDescent="0.25">
      <c r="C13" s="18" t="s">
        <v>51</v>
      </c>
      <c r="E13" s="21">
        <v>0.07</v>
      </c>
      <c r="F13" s="17" t="s">
        <v>52</v>
      </c>
    </row>
    <row r="14" ht="26" customHeight="1" spans="3:6" x14ac:dyDescent="0.25">
      <c r="C14" s="18" t="s">
        <v>53</v>
      </c>
      <c r="E14" s="21">
        <v>0.03</v>
      </c>
      <c r="F14" s="17" t="s">
        <v>54</v>
      </c>
    </row>
    <row r="15" ht="8" customHeight="1" x14ac:dyDescent="0.25"/>
    <row r="16" ht="26" customHeight="1" spans="3:6" x14ac:dyDescent="0.25">
      <c r="C16" s="18" t="s">
        <v>55</v>
      </c>
      <c r="E16" s="20">
        <v>4000</v>
      </c>
      <c r="F16" s="17" t="s">
        <v>56</v>
      </c>
    </row>
    <row r="17" ht="26" customHeight="1" spans="3:6" x14ac:dyDescent="0.25">
      <c r="C17" s="18" t="s">
        <v>57</v>
      </c>
      <c r="E17" s="20">
        <v>1800</v>
      </c>
      <c r="F17" s="17" t="s">
        <v>58</v>
      </c>
    </row>
    <row r="18" ht="26" customHeight="1" spans="3:6" x14ac:dyDescent="0.25">
      <c r="C18" s="18" t="s">
        <v>59</v>
      </c>
      <c r="E18" s="19">
        <v>67</v>
      </c>
      <c r="F18" s="17" t="s">
        <v>60</v>
      </c>
    </row>
    <row r="19" ht="26" customHeight="1" spans="3:6" x14ac:dyDescent="0.25">
      <c r="C19" s="18" t="s">
        <v>61</v>
      </c>
      <c r="E19" s="22">
        <v>0.5</v>
      </c>
      <c r="F19" s="17" t="s">
        <v>62</v>
      </c>
    </row>
    <row r="20" ht="26" customHeight="1" spans="3:6" x14ac:dyDescent="0.25">
      <c r="C20" s="18" t="s">
        <v>63</v>
      </c>
      <c r="E20" s="22">
        <v>0.06</v>
      </c>
      <c r="F20" s="17" t="s">
        <v>64</v>
      </c>
    </row>
    <row r="21" ht="14" customHeight="1" x14ac:dyDescent="0.25"/>
    <row r="23" ht="28" customHeight="1" spans="1:6" x14ac:dyDescent="0.25">
      <c r="A23" s="11" t="s">
        <v>65</v>
      </c>
      <c r="B23" s="12"/>
      <c r="C23" s="12"/>
      <c r="D23" s="12"/>
      <c r="E23" s="12"/>
      <c r="F23" s="12"/>
    </row>
    <row r="24" ht="26" customHeight="1" spans="3:5" x14ac:dyDescent="0.25">
      <c r="C24" s="18" t="s">
        <v>66</v>
      </c>
      <c r="E24" s="23">
        <f>E8-E7</f>
        <v>30</v>
      </c>
    </row>
    <row r="25" ht="26" customHeight="1" spans="3:5" x14ac:dyDescent="0.25">
      <c r="C25" s="18" t="s">
        <v>67</v>
      </c>
      <c r="E25" s="24">
        <f>IFERROR('Projection Table'!F34,0)</f>
        <v>2083400</v>
      </c>
    </row>
    <row r="26" ht="26" customHeight="1" spans="3:6" x14ac:dyDescent="0.25">
      <c r="C26" s="18" t="s">
        <v>68</v>
      </c>
      <c r="E26" s="25">
        <f>(1+E13)/(1+E14)-1</f>
        <v>0.03883495145631066</v>
      </c>
      <c r="F26" s="17" t="s">
        <v>69</v>
      </c>
    </row>
    <row r="27" ht="26" customHeight="1" spans="3:6" x14ac:dyDescent="0.25">
      <c r="C27" s="18" t="s">
        <v>70</v>
      </c>
      <c r="E27" s="24">
        <f>E16*(1+E14)^(E8-E7)</f>
        <v>9709</v>
      </c>
      <c r="F27" s="17" t="s">
        <v>71</v>
      </c>
    </row>
    <row r="28" ht="26" customHeight="1" spans="3:6" x14ac:dyDescent="0.25">
      <c r="C28" s="18" t="s">
        <v>72</v>
      </c>
      <c r="E28" s="24">
        <f>MAX(0,IF(E26&gt;0,E27*12/E26,E27*12/0.04)-E25)</f>
        <v>916696</v>
      </c>
      <c r="F28" s="17" t="s">
        <v>73</v>
      </c>
    </row>
    <row r="29" ht="26" customHeight="1" spans="3:6" x14ac:dyDescent="0.25">
      <c r="C29" s="18" t="s">
        <v>74</v>
      </c>
      <c r="E29" s="24">
        <f>IF(E28&lt;=0,0,IF(E13=0,E28/(E24*12),E28*(E13/12)/((1+E13/12)^(E24*12)-1)))</f>
        <v>751</v>
      </c>
      <c r="F29" s="17" t="s">
        <v>75</v>
      </c>
    </row>
    <row r="30" ht="14" customHeight="1" x14ac:dyDescent="0.25"/>
    <row r="31" ht="6" customHeight="1" x14ac:dyDescent="0.25"/>
    <row r="32" ht="20" customHeight="1" spans="1:6" x14ac:dyDescent="0.25">
      <c r="A32" s="13" t="s">
        <v>17</v>
      </c>
      <c r="B32" s="13"/>
      <c r="C32" s="13"/>
      <c r="D32" s="13"/>
      <c r="E32" s="13"/>
      <c r="F32" s="13"/>
    </row>
    <row r="33" ht="20" customHeight="1" spans="1:6" x14ac:dyDescent="0.25">
      <c r="A33" s="14" t="s">
        <v>18</v>
      </c>
      <c r="B33" s="14"/>
      <c r="C33" s="14"/>
      <c r="D33" s="14"/>
      <c r="E33" s="14"/>
      <c r="F33" s="14"/>
    </row>
  </sheetData>
  <sheetProtection sheet="1"/>
  <mergeCells count="4">
    <mergeCell ref="B1:F1"/>
    <mergeCell ref="B2:F2"/>
    <mergeCell ref="A32:F32"/>
    <mergeCell ref="A33:F33"/>
  </mergeCells>
  <hyperlinks>
    <hyperlink ref="A3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3"/>
  <sheetViews>
    <sheetView workbookViewId="0" showGridLines="0" zoomScale="11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8" customWidth="1"/>
    <col min="3" max="6" width="18" customWidth="1"/>
  </cols>
  <sheetData>
    <row r="1" ht="48" customHeight="1" spans="1:6" x14ac:dyDescent="0.25">
      <c r="A1" s="16" t="s">
        <v>76</v>
      </c>
      <c r="B1" s="16"/>
      <c r="C1" s="16"/>
      <c r="D1" s="16"/>
      <c r="E1" s="16"/>
      <c r="F1" s="16"/>
    </row>
    <row r="2" ht="24" customHeight="1" spans="1:6" x14ac:dyDescent="0.25">
      <c r="A2" s="17" t="s">
        <v>77</v>
      </c>
      <c r="B2" s="17"/>
      <c r="C2" s="17"/>
      <c r="D2" s="17"/>
      <c r="E2" s="17"/>
      <c r="F2" s="17"/>
    </row>
    <row r="3" ht="14" customHeight="1" x14ac:dyDescent="0.25"/>
    <row r="4" ht="32" customHeight="1" spans="1:6" x14ac:dyDescent="0.25">
      <c r="A4" s="26" t="s">
        <v>78</v>
      </c>
      <c r="B4" s="27" t="s">
        <v>79</v>
      </c>
      <c r="C4" s="27" t="s">
        <v>80</v>
      </c>
      <c r="D4" s="27" t="s">
        <v>81</v>
      </c>
      <c r="E4" s="27" t="s">
        <v>82</v>
      </c>
      <c r="F4" s="27" t="s">
        <v>83</v>
      </c>
    </row>
    <row r="5" ht="26" customHeight="1" spans="1:6" x14ac:dyDescent="0.25">
      <c r="A5" s="28">
        <f>1</f>
        <v>1</v>
      </c>
      <c r="B5" s="28">
        <f>'Retirement Setup'!E7+0</f>
        <v>35</v>
      </c>
      <c r="C5" s="29">
        <f>'Retirement Setup'!E11</f>
        <v>95000</v>
      </c>
      <c r="D5" s="29">
        <f>('Retirement Setup'!E12+'Retirement Setup'!E12*'Retirement Setup'!E19)*12</f>
        <v>14400</v>
      </c>
      <c r="E5" s="29">
        <f>IF(C5&lt;=0,0,C5*'Retirement Setup'!E13)</f>
        <v>6650</v>
      </c>
      <c r="F5" s="29">
        <f>MAX(0,C5+D5+E5)</f>
        <v>116050</v>
      </c>
    </row>
    <row r="6" ht="26" customHeight="1" spans="1:6" x14ac:dyDescent="0.25">
      <c r="A6" s="30">
        <f>2</f>
        <v>2</v>
      </c>
      <c r="B6" s="30">
        <f>'Retirement Setup'!E7+1</f>
        <v>36</v>
      </c>
      <c r="C6" s="31">
        <f>IF(F5&lt;0,0,F5)</f>
        <v>116050</v>
      </c>
      <c r="D6" s="31">
        <f>('Retirement Setup'!E12+'Retirement Setup'!E12*'Retirement Setup'!E19)*12</f>
        <v>14400</v>
      </c>
      <c r="E6" s="31">
        <f>IF(C6&lt;=0,0,C6*'Retirement Setup'!E13)</f>
        <v>8124</v>
      </c>
      <c r="F6" s="31">
        <f>MAX(0,C6+D6+E6)</f>
        <v>138574</v>
      </c>
    </row>
    <row r="7" ht="26" customHeight="1" spans="1:6" x14ac:dyDescent="0.25">
      <c r="A7" s="28">
        <f>3</f>
        <v>3</v>
      </c>
      <c r="B7" s="28">
        <f>'Retirement Setup'!E7+2</f>
        <v>37</v>
      </c>
      <c r="C7" s="29">
        <f>IF(F6&lt;0,0,F6)</f>
        <v>138574</v>
      </c>
      <c r="D7" s="29">
        <f>('Retirement Setup'!E12+'Retirement Setup'!E12*'Retirement Setup'!E19)*12</f>
        <v>14400</v>
      </c>
      <c r="E7" s="29">
        <f>IF(C7&lt;=0,0,C7*'Retirement Setup'!E13)</f>
        <v>9700</v>
      </c>
      <c r="F7" s="29">
        <f>MAX(0,C7+D7+E7)</f>
        <v>162674</v>
      </c>
    </row>
    <row r="8" ht="26" customHeight="1" spans="1:6" x14ac:dyDescent="0.25">
      <c r="A8" s="30">
        <f>4</f>
        <v>4</v>
      </c>
      <c r="B8" s="30">
        <f>'Retirement Setup'!E7+3</f>
        <v>38</v>
      </c>
      <c r="C8" s="31">
        <f>IF(F7&lt;0,0,F7)</f>
        <v>162674</v>
      </c>
      <c r="D8" s="31">
        <f>('Retirement Setup'!E12+'Retirement Setup'!E12*'Retirement Setup'!E19)*12</f>
        <v>14400</v>
      </c>
      <c r="E8" s="31">
        <f>IF(C8&lt;=0,0,C8*'Retirement Setup'!E13)</f>
        <v>11387</v>
      </c>
      <c r="F8" s="31">
        <f>MAX(0,C8+D8+E8)</f>
        <v>188461</v>
      </c>
    </row>
    <row r="9" ht="26" customHeight="1" spans="1:6" x14ac:dyDescent="0.25">
      <c r="A9" s="28">
        <f>5</f>
        <v>5</v>
      </c>
      <c r="B9" s="28">
        <f>'Retirement Setup'!E7+4</f>
        <v>39</v>
      </c>
      <c r="C9" s="29">
        <f>IF(F8&lt;0,0,F8)</f>
        <v>188461</v>
      </c>
      <c r="D9" s="29">
        <f>('Retirement Setup'!E12+'Retirement Setup'!E12*'Retirement Setup'!E19)*12</f>
        <v>14400</v>
      </c>
      <c r="E9" s="29">
        <f>IF(C9&lt;=0,0,C9*'Retirement Setup'!E13)</f>
        <v>13192</v>
      </c>
      <c r="F9" s="29">
        <f>MAX(0,C9+D9+E9)</f>
        <v>216053</v>
      </c>
    </row>
    <row r="10" ht="26" customHeight="1" spans="1:6" x14ac:dyDescent="0.25">
      <c r="A10" s="30">
        <f>6</f>
        <v>6</v>
      </c>
      <c r="B10" s="30">
        <f>'Retirement Setup'!E7+5</f>
        <v>40</v>
      </c>
      <c r="C10" s="31">
        <f>IF(F9&lt;0,0,F9)</f>
        <v>216053</v>
      </c>
      <c r="D10" s="31">
        <f>('Retirement Setup'!E12+'Retirement Setup'!E12*'Retirement Setup'!E19)*12</f>
        <v>14400</v>
      </c>
      <c r="E10" s="31">
        <f>IF(C10&lt;=0,0,C10*'Retirement Setup'!E13)</f>
        <v>15124</v>
      </c>
      <c r="F10" s="31">
        <f>MAX(0,C10+D10+E10)</f>
        <v>245577</v>
      </c>
    </row>
    <row r="11" ht="26" customHeight="1" spans="1:6" x14ac:dyDescent="0.25">
      <c r="A11" s="28">
        <f>7</f>
        <v>7</v>
      </c>
      <c r="B11" s="28">
        <f>'Retirement Setup'!E7+6</f>
        <v>41</v>
      </c>
      <c r="C11" s="29">
        <f>IF(F10&lt;0,0,F10)</f>
        <v>245577</v>
      </c>
      <c r="D11" s="29">
        <f>('Retirement Setup'!E12+'Retirement Setup'!E12*'Retirement Setup'!E19)*12</f>
        <v>14400</v>
      </c>
      <c r="E11" s="29">
        <f>IF(C11&lt;=0,0,C11*'Retirement Setup'!E13)</f>
        <v>17190</v>
      </c>
      <c r="F11" s="29">
        <f>MAX(0,C11+D11+E11)</f>
        <v>277167</v>
      </c>
    </row>
    <row r="12" ht="26" customHeight="1" spans="1:6" x14ac:dyDescent="0.25">
      <c r="A12" s="30">
        <f>8</f>
        <v>8</v>
      </c>
      <c r="B12" s="30">
        <f>'Retirement Setup'!E7+7</f>
        <v>42</v>
      </c>
      <c r="C12" s="31">
        <f>IF(F11&lt;0,0,F11)</f>
        <v>277167</v>
      </c>
      <c r="D12" s="31">
        <f>('Retirement Setup'!E12+'Retirement Setup'!E12*'Retirement Setup'!E19)*12</f>
        <v>14400</v>
      </c>
      <c r="E12" s="31">
        <f>IF(C12&lt;=0,0,C12*'Retirement Setup'!E13)</f>
        <v>19402</v>
      </c>
      <c r="F12" s="31">
        <f>MAX(0,C12+D12+E12)</f>
        <v>310969</v>
      </c>
    </row>
    <row r="13" ht="26" customHeight="1" spans="1:6" x14ac:dyDescent="0.25">
      <c r="A13" s="28">
        <f>9</f>
        <v>9</v>
      </c>
      <c r="B13" s="28">
        <f>'Retirement Setup'!E7+8</f>
        <v>43</v>
      </c>
      <c r="C13" s="29">
        <f>IF(F12&lt;0,0,F12)</f>
        <v>310969</v>
      </c>
      <c r="D13" s="29">
        <f>('Retirement Setup'!E12+'Retirement Setup'!E12*'Retirement Setup'!E19)*12</f>
        <v>14400</v>
      </c>
      <c r="E13" s="29">
        <f>IF(C13&lt;=0,0,C13*'Retirement Setup'!E13)</f>
        <v>21768</v>
      </c>
      <c r="F13" s="29">
        <f>MAX(0,C13+D13+E13)</f>
        <v>347137</v>
      </c>
    </row>
    <row r="14" ht="26" customHeight="1" spans="1:6" x14ac:dyDescent="0.25">
      <c r="A14" s="30">
        <f>10</f>
        <v>10</v>
      </c>
      <c r="B14" s="30">
        <f>'Retirement Setup'!E7+9</f>
        <v>44</v>
      </c>
      <c r="C14" s="31">
        <f>IF(F13&lt;0,0,F13)</f>
        <v>347137</v>
      </c>
      <c r="D14" s="31">
        <f>('Retirement Setup'!E12+'Retirement Setup'!E12*'Retirement Setup'!E19)*12</f>
        <v>14400</v>
      </c>
      <c r="E14" s="31">
        <f>IF(C14&lt;=0,0,C14*'Retirement Setup'!E13)</f>
        <v>24300</v>
      </c>
      <c r="F14" s="31">
        <f>MAX(0,C14+D14+E14)</f>
        <v>385836</v>
      </c>
    </row>
    <row r="15" ht="26" customHeight="1" spans="1:6" x14ac:dyDescent="0.25">
      <c r="A15" s="28">
        <f>11</f>
        <v>11</v>
      </c>
      <c r="B15" s="28">
        <f>'Retirement Setup'!E7+10</f>
        <v>45</v>
      </c>
      <c r="C15" s="29">
        <f>IF(F14&lt;0,0,F14)</f>
        <v>385836</v>
      </c>
      <c r="D15" s="29">
        <f>('Retirement Setup'!E12+'Retirement Setup'!E12*'Retirement Setup'!E19)*12</f>
        <v>14400</v>
      </c>
      <c r="E15" s="29">
        <f>IF(C15&lt;=0,0,C15*'Retirement Setup'!E13)</f>
        <v>27009</v>
      </c>
      <c r="F15" s="29">
        <f>MAX(0,C15+D15+E15)</f>
        <v>427245</v>
      </c>
    </row>
    <row r="16" ht="26" customHeight="1" spans="1:6" x14ac:dyDescent="0.25">
      <c r="A16" s="30">
        <f>12</f>
        <v>12</v>
      </c>
      <c r="B16" s="30">
        <f>'Retirement Setup'!E7+11</f>
        <v>46</v>
      </c>
      <c r="C16" s="31">
        <f>IF(F15&lt;0,0,F15)</f>
        <v>427245</v>
      </c>
      <c r="D16" s="31">
        <f>('Retirement Setup'!E12+'Retirement Setup'!E12*'Retirement Setup'!E19)*12</f>
        <v>14400</v>
      </c>
      <c r="E16" s="31">
        <f>IF(C16&lt;=0,0,C16*'Retirement Setup'!E13)</f>
        <v>29907</v>
      </c>
      <c r="F16" s="31">
        <f>MAX(0,C16+D16+E16)</f>
        <v>471552</v>
      </c>
    </row>
    <row r="17" ht="26" customHeight="1" spans="1:6" x14ac:dyDescent="0.25">
      <c r="A17" s="28">
        <f>13</f>
        <v>13</v>
      </c>
      <c r="B17" s="28">
        <f>'Retirement Setup'!E7+12</f>
        <v>47</v>
      </c>
      <c r="C17" s="29">
        <f>IF(F16&lt;0,0,F16)</f>
        <v>471552</v>
      </c>
      <c r="D17" s="29">
        <f>('Retirement Setup'!E12+'Retirement Setup'!E12*'Retirement Setup'!E19)*12</f>
        <v>14400</v>
      </c>
      <c r="E17" s="29">
        <f>IF(C17&lt;=0,0,C17*'Retirement Setup'!E13)</f>
        <v>33009</v>
      </c>
      <c r="F17" s="29">
        <f>MAX(0,C17+D17+E17)</f>
        <v>518961</v>
      </c>
    </row>
    <row r="18" ht="26" customHeight="1" spans="1:6" x14ac:dyDescent="0.25">
      <c r="A18" s="30">
        <f>14</f>
        <v>14</v>
      </c>
      <c r="B18" s="30">
        <f>'Retirement Setup'!E7+13</f>
        <v>48</v>
      </c>
      <c r="C18" s="31">
        <f>IF(F17&lt;0,0,F17)</f>
        <v>518961</v>
      </c>
      <c r="D18" s="31">
        <f>('Retirement Setup'!E12+'Retirement Setup'!E12*'Retirement Setup'!E19)*12</f>
        <v>14400</v>
      </c>
      <c r="E18" s="31">
        <f>IF(C18&lt;=0,0,C18*'Retirement Setup'!E13)</f>
        <v>36327</v>
      </c>
      <c r="F18" s="31">
        <f>MAX(0,C18+D18+E18)</f>
        <v>569688</v>
      </c>
    </row>
    <row r="19" ht="26" customHeight="1" spans="1:6" x14ac:dyDescent="0.25">
      <c r="A19" s="28">
        <f>15</f>
        <v>15</v>
      </c>
      <c r="B19" s="28">
        <f>'Retirement Setup'!E7+14</f>
        <v>49</v>
      </c>
      <c r="C19" s="29">
        <f>IF(F18&lt;0,0,F18)</f>
        <v>569688</v>
      </c>
      <c r="D19" s="29">
        <f>('Retirement Setup'!E12+'Retirement Setup'!E12*'Retirement Setup'!E19)*12</f>
        <v>14400</v>
      </c>
      <c r="E19" s="29">
        <f>IF(C19&lt;=0,0,C19*'Retirement Setup'!E13)</f>
        <v>39878</v>
      </c>
      <c r="F19" s="29">
        <f>MAX(0,C19+D19+E19)</f>
        <v>623966</v>
      </c>
    </row>
    <row r="20" ht="26" customHeight="1" spans="1:6" x14ac:dyDescent="0.25">
      <c r="A20" s="30">
        <f>16</f>
        <v>16</v>
      </c>
      <c r="B20" s="30">
        <f>'Retirement Setup'!E7+15</f>
        <v>50</v>
      </c>
      <c r="C20" s="31">
        <f>IF(F19&lt;0,0,F19)</f>
        <v>623966</v>
      </c>
      <c r="D20" s="31">
        <f>('Retirement Setup'!E12+'Retirement Setup'!E12*'Retirement Setup'!E19)*12</f>
        <v>14400</v>
      </c>
      <c r="E20" s="31">
        <f>IF(C20&lt;=0,0,C20*'Retirement Setup'!E13)</f>
        <v>43678</v>
      </c>
      <c r="F20" s="31">
        <f>MAX(0,C20+D20+E20)</f>
        <v>682044</v>
      </c>
    </row>
    <row r="21" ht="26" customHeight="1" spans="1:6" x14ac:dyDescent="0.25">
      <c r="A21" s="28">
        <f>17</f>
        <v>17</v>
      </c>
      <c r="B21" s="28">
        <f>'Retirement Setup'!E7+16</f>
        <v>51</v>
      </c>
      <c r="C21" s="29">
        <f>IF(F20&lt;0,0,F20)</f>
        <v>682044</v>
      </c>
      <c r="D21" s="29">
        <f>('Retirement Setup'!E12+'Retirement Setup'!E12*'Retirement Setup'!E19)*12</f>
        <v>14400</v>
      </c>
      <c r="E21" s="29">
        <f>IF(C21&lt;=0,0,C21*'Retirement Setup'!E13)</f>
        <v>47743</v>
      </c>
      <c r="F21" s="29">
        <f>MAX(0,C21+D21+E21)</f>
        <v>744187</v>
      </c>
    </row>
    <row r="22" ht="26" customHeight="1" spans="1:6" x14ac:dyDescent="0.25">
      <c r="A22" s="30">
        <f>18</f>
        <v>18</v>
      </c>
      <c r="B22" s="30">
        <f>'Retirement Setup'!E7+17</f>
        <v>52</v>
      </c>
      <c r="C22" s="31">
        <f>IF(F21&lt;0,0,F21)</f>
        <v>744187</v>
      </c>
      <c r="D22" s="31">
        <f>('Retirement Setup'!E12+'Retirement Setup'!E12*'Retirement Setup'!E19)*12</f>
        <v>14400</v>
      </c>
      <c r="E22" s="31">
        <f>IF(C22&lt;=0,0,C22*'Retirement Setup'!E13)</f>
        <v>52093</v>
      </c>
      <c r="F22" s="31">
        <f>MAX(0,C22+D22+E22)</f>
        <v>810680</v>
      </c>
    </row>
    <row r="23" ht="26" customHeight="1" spans="1:6" x14ac:dyDescent="0.25">
      <c r="A23" s="28">
        <f>19</f>
        <v>19</v>
      </c>
      <c r="B23" s="28">
        <f>'Retirement Setup'!E7+18</f>
        <v>53</v>
      </c>
      <c r="C23" s="29">
        <f>IF(F22&lt;0,0,F22)</f>
        <v>810680</v>
      </c>
      <c r="D23" s="29">
        <f>('Retirement Setup'!E12+'Retirement Setup'!E12*'Retirement Setup'!E19)*12</f>
        <v>14400</v>
      </c>
      <c r="E23" s="29">
        <f>IF(C23&lt;=0,0,C23*'Retirement Setup'!E13)</f>
        <v>56748</v>
      </c>
      <c r="F23" s="29">
        <f>MAX(0,C23+D23+E23)</f>
        <v>881827</v>
      </c>
    </row>
    <row r="24" ht="26" customHeight="1" spans="1:6" x14ac:dyDescent="0.25">
      <c r="A24" s="30">
        <f>20</f>
        <v>20</v>
      </c>
      <c r="B24" s="30">
        <f>'Retirement Setup'!E7+19</f>
        <v>54</v>
      </c>
      <c r="C24" s="31">
        <f>IF(F23&lt;0,0,F23)</f>
        <v>881827</v>
      </c>
      <c r="D24" s="31">
        <f>('Retirement Setup'!E12+'Retirement Setup'!E12*'Retirement Setup'!E19)*12</f>
        <v>14400</v>
      </c>
      <c r="E24" s="31">
        <f>IF(C24&lt;=0,0,C24*'Retirement Setup'!E13)</f>
        <v>61728</v>
      </c>
      <c r="F24" s="31">
        <f>MAX(0,C24+D24+E24)</f>
        <v>957955</v>
      </c>
    </row>
    <row r="25" ht="26" customHeight="1" spans="1:6" x14ac:dyDescent="0.25">
      <c r="A25" s="28">
        <f>21</f>
        <v>21</v>
      </c>
      <c r="B25" s="28">
        <f>'Retirement Setup'!E7+20</f>
        <v>55</v>
      </c>
      <c r="C25" s="29">
        <f>IF(F24&lt;0,0,F24)</f>
        <v>957955</v>
      </c>
      <c r="D25" s="29">
        <f>('Retirement Setup'!E12+'Retirement Setup'!E12*'Retirement Setup'!E19)*12</f>
        <v>14400</v>
      </c>
      <c r="E25" s="29">
        <f>IF(C25&lt;=0,0,C25*'Retirement Setup'!E13)</f>
        <v>67057</v>
      </c>
      <c r="F25" s="29">
        <f>MAX(0,C25+D25+E25)</f>
        <v>1039412</v>
      </c>
    </row>
    <row r="26" ht="26" customHeight="1" spans="1:6" x14ac:dyDescent="0.25">
      <c r="A26" s="30">
        <f>22</f>
        <v>22</v>
      </c>
      <c r="B26" s="30">
        <f>'Retirement Setup'!E7+21</f>
        <v>56</v>
      </c>
      <c r="C26" s="31">
        <f>IF(F25&lt;0,0,F25)</f>
        <v>1039412</v>
      </c>
      <c r="D26" s="31">
        <f>('Retirement Setup'!E12+'Retirement Setup'!E12*'Retirement Setup'!E19)*12</f>
        <v>14400</v>
      </c>
      <c r="E26" s="31">
        <f>IF(C26&lt;=0,0,C26*'Retirement Setup'!E13)</f>
        <v>72759</v>
      </c>
      <c r="F26" s="31">
        <f>MAX(0,C26+D26+E26)</f>
        <v>1126571</v>
      </c>
    </row>
    <row r="27" ht="26" customHeight="1" spans="1:6" x14ac:dyDescent="0.25">
      <c r="A27" s="28">
        <f>23</f>
        <v>23</v>
      </c>
      <c r="B27" s="28">
        <f>'Retirement Setup'!E7+22</f>
        <v>57</v>
      </c>
      <c r="C27" s="29">
        <f>IF(F26&lt;0,0,F26)</f>
        <v>1126571</v>
      </c>
      <c r="D27" s="29">
        <f>('Retirement Setup'!E12+'Retirement Setup'!E12*'Retirement Setup'!E19)*12</f>
        <v>14400</v>
      </c>
      <c r="E27" s="29">
        <f>IF(C27&lt;=0,0,C27*'Retirement Setup'!E13)</f>
        <v>78860</v>
      </c>
      <c r="F27" s="29">
        <f>MAX(0,C27+D27+E27)</f>
        <v>1219831</v>
      </c>
    </row>
    <row r="28" ht="26" customHeight="1" spans="1:6" x14ac:dyDescent="0.25">
      <c r="A28" s="30">
        <f>24</f>
        <v>24</v>
      </c>
      <c r="B28" s="30">
        <f>'Retirement Setup'!E7+23</f>
        <v>58</v>
      </c>
      <c r="C28" s="31">
        <f>IF(F27&lt;0,0,F27)</f>
        <v>1219831</v>
      </c>
      <c r="D28" s="31">
        <f>('Retirement Setup'!E12+'Retirement Setup'!E12*'Retirement Setup'!E19)*12</f>
        <v>14400</v>
      </c>
      <c r="E28" s="31">
        <f>IF(C28&lt;=0,0,C28*'Retirement Setup'!E13)</f>
        <v>85388</v>
      </c>
      <c r="F28" s="31">
        <f>MAX(0,C28+D28+E28)</f>
        <v>1319619</v>
      </c>
    </row>
    <row r="29" ht="26" customHeight="1" spans="1:6" x14ac:dyDescent="0.25">
      <c r="A29" s="28">
        <f>25</f>
        <v>25</v>
      </c>
      <c r="B29" s="28">
        <f>'Retirement Setup'!E7+24</f>
        <v>59</v>
      </c>
      <c r="C29" s="29">
        <f>IF(F28&lt;0,0,F28)</f>
        <v>1319619</v>
      </c>
      <c r="D29" s="29">
        <f>('Retirement Setup'!E12+'Retirement Setup'!E12*'Retirement Setup'!E19)*12</f>
        <v>14400</v>
      </c>
      <c r="E29" s="29">
        <f>IF(C29&lt;=0,0,C29*'Retirement Setup'!E13)</f>
        <v>92373</v>
      </c>
      <c r="F29" s="29">
        <f>MAX(0,C29+D29+E29)</f>
        <v>1426392</v>
      </c>
    </row>
    <row r="30" ht="26" customHeight="1" spans="1:6" x14ac:dyDescent="0.25">
      <c r="A30" s="30">
        <f>26</f>
        <v>26</v>
      </c>
      <c r="B30" s="30">
        <f>'Retirement Setup'!E7+25</f>
        <v>60</v>
      </c>
      <c r="C30" s="31">
        <f>IF(F29&lt;0,0,F29)</f>
        <v>1426392</v>
      </c>
      <c r="D30" s="31">
        <f>('Retirement Setup'!E12+'Retirement Setup'!E12*'Retirement Setup'!E19)*12</f>
        <v>14400</v>
      </c>
      <c r="E30" s="31">
        <f>IF(C30&lt;=0,0,C30*'Retirement Setup'!E13)</f>
        <v>99847</v>
      </c>
      <c r="F30" s="31">
        <f>MAX(0,C30+D30+E30)</f>
        <v>1540640</v>
      </c>
    </row>
    <row r="31" ht="26" customHeight="1" spans="1:6" x14ac:dyDescent="0.25">
      <c r="A31" s="28">
        <f>27</f>
        <v>27</v>
      </c>
      <c r="B31" s="28">
        <f>'Retirement Setup'!E7+26</f>
        <v>61</v>
      </c>
      <c r="C31" s="29">
        <f>IF(F30&lt;0,0,F30)</f>
        <v>1540640</v>
      </c>
      <c r="D31" s="29">
        <f>('Retirement Setup'!E12+'Retirement Setup'!E12*'Retirement Setup'!E19)*12</f>
        <v>14400</v>
      </c>
      <c r="E31" s="29">
        <f>IF(C31&lt;=0,0,C31*'Retirement Setup'!E13)</f>
        <v>107845</v>
      </c>
      <c r="F31" s="29">
        <f>MAX(0,C31+D31+E31)</f>
        <v>1662884</v>
      </c>
    </row>
    <row r="32" ht="26" customHeight="1" spans="1:6" x14ac:dyDescent="0.25">
      <c r="A32" s="30">
        <f>28</f>
        <v>28</v>
      </c>
      <c r="B32" s="30">
        <f>'Retirement Setup'!E7+27</f>
        <v>62</v>
      </c>
      <c r="C32" s="31">
        <f>IF(F31&lt;0,0,F31)</f>
        <v>1662884</v>
      </c>
      <c r="D32" s="31">
        <f>('Retirement Setup'!E12+'Retirement Setup'!E12*'Retirement Setup'!E19)*12</f>
        <v>14400</v>
      </c>
      <c r="E32" s="31">
        <f>IF(C32&lt;=0,0,C32*'Retirement Setup'!E13)</f>
        <v>116402</v>
      </c>
      <c r="F32" s="31">
        <f>MAX(0,C32+D32+E32)</f>
        <v>1793686</v>
      </c>
    </row>
    <row r="33" ht="26" customHeight="1" spans="1:6" x14ac:dyDescent="0.25">
      <c r="A33" s="28">
        <f>29</f>
        <v>29</v>
      </c>
      <c r="B33" s="28">
        <f>'Retirement Setup'!E7+28</f>
        <v>63</v>
      </c>
      <c r="C33" s="29">
        <f>IF(F32&lt;0,0,F32)</f>
        <v>1793686</v>
      </c>
      <c r="D33" s="29">
        <f>('Retirement Setup'!E12+'Retirement Setup'!E12*'Retirement Setup'!E19)*12</f>
        <v>14400</v>
      </c>
      <c r="E33" s="29">
        <f>IF(C33&lt;=0,0,C33*'Retirement Setup'!E13)</f>
        <v>125558</v>
      </c>
      <c r="F33" s="29">
        <f>MAX(0,C33+D33+E33)</f>
        <v>1933644</v>
      </c>
    </row>
    <row r="34" ht="26" customHeight="1" spans="1:6" x14ac:dyDescent="0.25">
      <c r="A34" s="30">
        <f>30</f>
        <v>30</v>
      </c>
      <c r="B34" s="30">
        <f>'Retirement Setup'!E7+29</f>
        <v>64</v>
      </c>
      <c r="C34" s="31">
        <f>IF(F33&lt;0,0,F33)</f>
        <v>1933644</v>
      </c>
      <c r="D34" s="31">
        <f>('Retirement Setup'!E12+'Retirement Setup'!E12*'Retirement Setup'!E19)*12</f>
        <v>14400</v>
      </c>
      <c r="E34" s="31">
        <f>IF(C34&lt;=0,0,C34*'Retirement Setup'!E13)</f>
        <v>135355</v>
      </c>
      <c r="F34" s="31">
        <f>MAX(0,C34+D34+E34)</f>
        <v>2083400</v>
      </c>
    </row>
    <row r="35" ht="26" customHeight="1" spans="1:6" x14ac:dyDescent="0.25">
      <c r="A35" s="32">
        <f>31</f>
        <v>31</v>
      </c>
      <c r="B35" s="32">
        <f>'Retirement Setup'!E7+30</f>
        <v>65</v>
      </c>
      <c r="C35" s="33">
        <f>IF(F34&lt;0,0,F34)</f>
        <v>2083400</v>
      </c>
      <c r="D35" s="33">
        <f>IF(C35&lt;=0,0,-MAX(0,('Retirement Setup'!E16*(1+'Retirement Setup'!E14)^(B35-'Retirement Setup'!E8)-IF(B35&gt;='Retirement Setup'!E18,'Retirement Setup'!E17,0))*12))</f>
        <v>-48000</v>
      </c>
      <c r="E35" s="33">
        <f>IF(C35&lt;=0,0,C35*'Retirement Setup'!E13)</f>
        <v>145838</v>
      </c>
      <c r="F35" s="33">
        <f>MAX(0,C35+D35+E35)</f>
        <v>2181238</v>
      </c>
    </row>
    <row r="36" ht="26" customHeight="1" spans="1:6" x14ac:dyDescent="0.25">
      <c r="A36" s="30">
        <f>32</f>
        <v>32</v>
      </c>
      <c r="B36" s="30">
        <f>'Retirement Setup'!E7+31</f>
        <v>66</v>
      </c>
      <c r="C36" s="31">
        <f>IF(F35&lt;0,0,F35)</f>
        <v>2181238</v>
      </c>
      <c r="D36" s="31">
        <f>IF(C36&lt;=0,0,-MAX(0,('Retirement Setup'!E16*(1+'Retirement Setup'!E14)^(B36-'Retirement Setup'!E8)-IF(B36&gt;='Retirement Setup'!E18,'Retirement Setup'!E17,0))*12))</f>
        <v>-49440</v>
      </c>
      <c r="E36" s="31">
        <f>IF(C36&lt;=0,0,C36*'Retirement Setup'!E13)</f>
        <v>152687</v>
      </c>
      <c r="F36" s="31">
        <f>MAX(0,C36+D36+E36)</f>
        <v>2284484</v>
      </c>
    </row>
    <row r="37" ht="26" customHeight="1" spans="1:6" x14ac:dyDescent="0.25">
      <c r="A37" s="28">
        <f>33</f>
        <v>33</v>
      </c>
      <c r="B37" s="28">
        <f>'Retirement Setup'!E7+32</f>
        <v>67</v>
      </c>
      <c r="C37" s="29">
        <f>IF(F36&lt;0,0,F36)</f>
        <v>2284484</v>
      </c>
      <c r="D37" s="29">
        <f>IF(C37&lt;=0,0,-MAX(0,('Retirement Setup'!E16*(1+'Retirement Setup'!E14)^(B37-'Retirement Setup'!E8)-IF(B37&gt;='Retirement Setup'!E18,'Retirement Setup'!E17,0))*12))</f>
        <v>-29323</v>
      </c>
      <c r="E37" s="29">
        <f>IF(C37&lt;=0,0,C37*'Retirement Setup'!E13)</f>
        <v>159914</v>
      </c>
      <c r="F37" s="29">
        <f>MAX(0,C37+D37+E37)</f>
        <v>2415075</v>
      </c>
    </row>
    <row r="38" ht="26" customHeight="1" spans="1:6" x14ac:dyDescent="0.25">
      <c r="A38" s="30">
        <f>34</f>
        <v>34</v>
      </c>
      <c r="B38" s="30">
        <f>'Retirement Setup'!E7+33</f>
        <v>68</v>
      </c>
      <c r="C38" s="31">
        <f>IF(F37&lt;0,0,F37)</f>
        <v>2415075</v>
      </c>
      <c r="D38" s="31">
        <f>IF(C38&lt;=0,0,-MAX(0,('Retirement Setup'!E16*(1+'Retirement Setup'!E14)^(B38-'Retirement Setup'!E8)-IF(B38&gt;='Retirement Setup'!E18,'Retirement Setup'!E17,0))*12))</f>
        <v>-30851</v>
      </c>
      <c r="E38" s="31">
        <f>IF(C38&lt;=0,0,C38*'Retirement Setup'!E13)</f>
        <v>169055</v>
      </c>
      <c r="F38" s="31">
        <f>MAX(0,C38+D38+E38)</f>
        <v>2553279</v>
      </c>
    </row>
    <row r="39" ht="26" customHeight="1" spans="1:6" x14ac:dyDescent="0.25">
      <c r="A39" s="28">
        <f>35</f>
        <v>35</v>
      </c>
      <c r="B39" s="28">
        <f>'Retirement Setup'!E7+34</f>
        <v>69</v>
      </c>
      <c r="C39" s="29">
        <f>IF(F38&lt;0,0,F38)</f>
        <v>2553279</v>
      </c>
      <c r="D39" s="29">
        <f>IF(C39&lt;=0,0,-MAX(0,('Retirement Setup'!E16*(1+'Retirement Setup'!E14)^(B39-'Retirement Setup'!E8)-IF(B39&gt;='Retirement Setup'!E18,'Retirement Setup'!E17,0))*12))</f>
        <v>-32424</v>
      </c>
      <c r="E39" s="29">
        <f>IF(C39&lt;=0,0,C39*'Retirement Setup'!E13)</f>
        <v>178730</v>
      </c>
      <c r="F39" s="29">
        <f>MAX(0,C39+D39+E39)</f>
        <v>2699584</v>
      </c>
    </row>
    <row r="40" ht="26" customHeight="1" spans="1:6" x14ac:dyDescent="0.25">
      <c r="A40" s="30">
        <f>36</f>
        <v>36</v>
      </c>
      <c r="B40" s="30">
        <f>'Retirement Setup'!E7+35</f>
        <v>70</v>
      </c>
      <c r="C40" s="31">
        <f>IF(F39&lt;0,0,F39)</f>
        <v>2699584</v>
      </c>
      <c r="D40" s="31">
        <f>IF(C40&lt;=0,0,-MAX(0,('Retirement Setup'!E16*(1+'Retirement Setup'!E14)^(B40-'Retirement Setup'!E8)-IF(B40&gt;='Retirement Setup'!E18,'Retirement Setup'!E17,0))*12))</f>
        <v>-34045</v>
      </c>
      <c r="E40" s="31">
        <f>IF(C40&lt;=0,0,C40*'Retirement Setup'!E13)</f>
        <v>188971</v>
      </c>
      <c r="F40" s="31">
        <f>MAX(0,C40+D40+E40)</f>
        <v>2854510</v>
      </c>
    </row>
    <row r="41" ht="26" customHeight="1" spans="1:6" x14ac:dyDescent="0.25">
      <c r="A41" s="28">
        <f>37</f>
        <v>37</v>
      </c>
      <c r="B41" s="28">
        <f>'Retirement Setup'!E7+36</f>
        <v>71</v>
      </c>
      <c r="C41" s="29">
        <f>IF(F40&lt;0,0,F40)</f>
        <v>2854510</v>
      </c>
      <c r="D41" s="29">
        <f>IF(C41&lt;=0,0,-MAX(0,('Retirement Setup'!E16*(1+'Retirement Setup'!E14)^(B41-'Retirement Setup'!E8)-IF(B41&gt;='Retirement Setup'!E18,'Retirement Setup'!E17,0))*12))</f>
        <v>-35715</v>
      </c>
      <c r="E41" s="29">
        <f>IF(C41&lt;=0,0,C41*'Retirement Setup'!E13)</f>
        <v>199816</v>
      </c>
      <c r="F41" s="29">
        <f>MAX(0,C41+D41+E41)</f>
        <v>3018611</v>
      </c>
    </row>
    <row r="42" ht="26" customHeight="1" spans="1:6" x14ac:dyDescent="0.25">
      <c r="A42" s="30">
        <f>38</f>
        <v>38</v>
      </c>
      <c r="B42" s="30">
        <f>'Retirement Setup'!E7+37</f>
        <v>72</v>
      </c>
      <c r="C42" s="31">
        <f>IF(F41&lt;0,0,F41)</f>
        <v>3018611</v>
      </c>
      <c r="D42" s="31">
        <f>IF(C42&lt;=0,0,-MAX(0,('Retirement Setup'!E16*(1+'Retirement Setup'!E14)^(B42-'Retirement Setup'!E8)-IF(B42&gt;='Retirement Setup'!E18,'Retirement Setup'!E17,0))*12))</f>
        <v>-37434</v>
      </c>
      <c r="E42" s="31">
        <f>IF(C42&lt;=0,0,C42*'Retirement Setup'!E13)</f>
        <v>211303</v>
      </c>
      <c r="F42" s="31">
        <f>MAX(0,C42+D42+E42)</f>
        <v>3192480</v>
      </c>
    </row>
    <row r="43" ht="26" customHeight="1" spans="1:6" x14ac:dyDescent="0.25">
      <c r="A43" s="28">
        <f>39</f>
        <v>39</v>
      </c>
      <c r="B43" s="28">
        <f>'Retirement Setup'!E7+38</f>
        <v>73</v>
      </c>
      <c r="C43" s="29">
        <f>IF(F42&lt;0,0,F42)</f>
        <v>3192480</v>
      </c>
      <c r="D43" s="29">
        <f>IF(C43&lt;=0,0,-MAX(0,('Retirement Setup'!E16*(1+'Retirement Setup'!E14)^(B43-'Retirement Setup'!E8)-IF(B43&gt;='Retirement Setup'!E18,'Retirement Setup'!E17,0))*12))</f>
        <v>-39205</v>
      </c>
      <c r="E43" s="29">
        <f>IF(C43&lt;=0,0,C43*'Retirement Setup'!E13)</f>
        <v>223474</v>
      </c>
      <c r="F43" s="29">
        <f>MAX(0,C43+D43+E43)</f>
        <v>3376749</v>
      </c>
    </row>
    <row r="44" ht="26" customHeight="1" spans="1:6" x14ac:dyDescent="0.25">
      <c r="A44" s="30">
        <f>40</f>
        <v>40</v>
      </c>
      <c r="B44" s="30">
        <f>'Retirement Setup'!E7+39</f>
        <v>74</v>
      </c>
      <c r="C44" s="31">
        <f>IF(F43&lt;0,0,F43)</f>
        <v>3376749</v>
      </c>
      <c r="D44" s="31">
        <f>IF(C44&lt;=0,0,-MAX(0,('Retirement Setup'!E16*(1+'Retirement Setup'!E14)^(B44-'Retirement Setup'!E8)-IF(B44&gt;='Retirement Setup'!E18,'Retirement Setup'!E17,0))*12))</f>
        <v>-41029</v>
      </c>
      <c r="E44" s="31">
        <f>IF(C44&lt;=0,0,C44*'Retirement Setup'!E13)</f>
        <v>236372</v>
      </c>
      <c r="F44" s="31">
        <f>MAX(0,C44+D44+E44)</f>
        <v>3572092</v>
      </c>
    </row>
    <row r="45" ht="26" customHeight="1" spans="1:6" x14ac:dyDescent="0.25">
      <c r="A45" s="28">
        <f>41</f>
        <v>41</v>
      </c>
      <c r="B45" s="28">
        <f>'Retirement Setup'!E7+40</f>
        <v>75</v>
      </c>
      <c r="C45" s="29">
        <f>IF(F44&lt;0,0,F44)</f>
        <v>3572092</v>
      </c>
      <c r="D45" s="29">
        <f>IF(C45&lt;=0,0,-MAX(0,('Retirement Setup'!E16*(1+'Retirement Setup'!E14)^(B45-'Retirement Setup'!E8)-IF(B45&gt;='Retirement Setup'!E18,'Retirement Setup'!E17,0))*12))</f>
        <v>-42908</v>
      </c>
      <c r="E45" s="29">
        <f>IF(C45&lt;=0,0,C45*'Retirement Setup'!E13)</f>
        <v>250046</v>
      </c>
      <c r="F45" s="29">
        <f>MAX(0,C45+D45+E45)</f>
        <v>3779230</v>
      </c>
    </row>
    <row r="46" ht="26" customHeight="1" spans="1:6" x14ac:dyDescent="0.25">
      <c r="A46" s="30">
        <f>42</f>
        <v>42</v>
      </c>
      <c r="B46" s="30">
        <f>'Retirement Setup'!E7+41</f>
        <v>76</v>
      </c>
      <c r="C46" s="31">
        <f>IF(F45&lt;0,0,F45)</f>
        <v>3779230</v>
      </c>
      <c r="D46" s="31">
        <f>IF(C46&lt;=0,0,-MAX(0,('Retirement Setup'!E16*(1+'Retirement Setup'!E14)^(B46-'Retirement Setup'!E8)-IF(B46&gt;='Retirement Setup'!E18,'Retirement Setup'!E17,0))*12))</f>
        <v>-44843</v>
      </c>
      <c r="E46" s="31">
        <f>IF(C46&lt;=0,0,C46*'Retirement Setup'!E13)</f>
        <v>264546</v>
      </c>
      <c r="F46" s="31">
        <f>MAX(0,C46+D46+E46)</f>
        <v>3998933</v>
      </c>
    </row>
    <row r="47" ht="26" customHeight="1" spans="1:6" x14ac:dyDescent="0.25">
      <c r="A47" s="28">
        <f>43</f>
        <v>43</v>
      </c>
      <c r="B47" s="28">
        <f>'Retirement Setup'!E7+42</f>
        <v>77</v>
      </c>
      <c r="C47" s="29">
        <f>IF(F46&lt;0,0,F46)</f>
        <v>3998933</v>
      </c>
      <c r="D47" s="29">
        <f>IF(C47&lt;=0,0,-MAX(0,('Retirement Setup'!E16*(1+'Retirement Setup'!E14)^(B47-'Retirement Setup'!E8)-IF(B47&gt;='Retirement Setup'!E18,'Retirement Setup'!E17,0))*12))</f>
        <v>-46837</v>
      </c>
      <c r="E47" s="29">
        <f>IF(C47&lt;=0,0,C47*'Retirement Setup'!E13)</f>
        <v>279925</v>
      </c>
      <c r="F47" s="29">
        <f>MAX(0,C47+D47+E47)</f>
        <v>4232022</v>
      </c>
    </row>
    <row r="48" ht="26" customHeight="1" spans="1:6" x14ac:dyDescent="0.25">
      <c r="A48" s="30">
        <f>44</f>
        <v>44</v>
      </c>
      <c r="B48" s="30">
        <f>'Retirement Setup'!E7+43</f>
        <v>78</v>
      </c>
      <c r="C48" s="31">
        <f>IF(F47&lt;0,0,F47)</f>
        <v>4232022</v>
      </c>
      <c r="D48" s="31">
        <f>IF(C48&lt;=0,0,-MAX(0,('Retirement Setup'!E16*(1+'Retirement Setup'!E14)^(B48-'Retirement Setup'!E8)-IF(B48&gt;='Retirement Setup'!E18,'Retirement Setup'!E17,0))*12))</f>
        <v>-48890</v>
      </c>
      <c r="E48" s="31">
        <f>IF(C48&lt;=0,0,C48*'Retirement Setup'!E13)</f>
        <v>296242</v>
      </c>
      <c r="F48" s="31">
        <f>MAX(0,C48+D48+E48)</f>
        <v>4479374</v>
      </c>
    </row>
    <row r="49" ht="26" customHeight="1" spans="1:6" x14ac:dyDescent="0.25">
      <c r="A49" s="28">
        <f>45</f>
        <v>45</v>
      </c>
      <c r="B49" s="28">
        <f>'Retirement Setup'!E7+44</f>
        <v>79</v>
      </c>
      <c r="C49" s="29">
        <f>IF(F48&lt;0,0,F48)</f>
        <v>4479374</v>
      </c>
      <c r="D49" s="29">
        <f>IF(C49&lt;=0,0,-MAX(0,('Retirement Setup'!E16*(1+'Retirement Setup'!E14)^(B49-'Retirement Setup'!E8)-IF(B49&gt;='Retirement Setup'!E18,'Retirement Setup'!E17,0))*12))</f>
        <v>-51004</v>
      </c>
      <c r="E49" s="29">
        <f>IF(C49&lt;=0,0,C49*'Retirement Setup'!E13)</f>
        <v>313556</v>
      </c>
      <c r="F49" s="29">
        <f>MAX(0,C49+D49+E49)</f>
        <v>4741926</v>
      </c>
    </row>
    <row r="50" ht="26" customHeight="1" spans="1:6" x14ac:dyDescent="0.25">
      <c r="A50" s="30">
        <f>46</f>
        <v>46</v>
      </c>
      <c r="B50" s="30">
        <f>'Retirement Setup'!E7+45</f>
        <v>80</v>
      </c>
      <c r="C50" s="31">
        <f>IF(F49&lt;0,0,F49)</f>
        <v>4741926</v>
      </c>
      <c r="D50" s="31">
        <f>IF(C50&lt;=0,0,-MAX(0,('Retirement Setup'!E16*(1+'Retirement Setup'!E14)^(B50-'Retirement Setup'!E8)-IF(B50&gt;='Retirement Setup'!E18,'Retirement Setup'!E17,0))*12))</f>
        <v>-53182</v>
      </c>
      <c r="E50" s="31">
        <f>IF(C50&lt;=0,0,C50*'Retirement Setup'!E13)</f>
        <v>331935</v>
      </c>
      <c r="F50" s="31">
        <f>MAX(0,C50+D50+E50)</f>
        <v>5020678</v>
      </c>
    </row>
    <row r="51" ht="26" customHeight="1" spans="1:6" x14ac:dyDescent="0.25">
      <c r="A51" s="28">
        <f>47</f>
        <v>47</v>
      </c>
      <c r="B51" s="28">
        <f>'Retirement Setup'!E7+46</f>
        <v>81</v>
      </c>
      <c r="C51" s="29">
        <f>IF(F50&lt;0,0,F50)</f>
        <v>5020678</v>
      </c>
      <c r="D51" s="29">
        <f>IF(C51&lt;=0,0,-MAX(0,('Retirement Setup'!E16*(1+'Retirement Setup'!E14)^(B51-'Retirement Setup'!E8)-IF(B51&gt;='Retirement Setup'!E18,'Retirement Setup'!E17,0))*12))</f>
        <v>-55426</v>
      </c>
      <c r="E51" s="29">
        <f>IF(C51&lt;=0,0,C51*'Retirement Setup'!E13)</f>
        <v>351447</v>
      </c>
      <c r="F51" s="29">
        <f>MAX(0,C51+D51+E51)</f>
        <v>5316700</v>
      </c>
    </row>
    <row r="52" ht="26" customHeight="1" spans="1:6" x14ac:dyDescent="0.25">
      <c r="A52" s="30">
        <f>48</f>
        <v>48</v>
      </c>
      <c r="B52" s="30">
        <f>'Retirement Setup'!E7+47</f>
        <v>82</v>
      </c>
      <c r="C52" s="31">
        <f>IF(F51&lt;0,0,F51)</f>
        <v>5316700</v>
      </c>
      <c r="D52" s="31">
        <f>IF(C52&lt;=0,0,-MAX(0,('Retirement Setup'!E16*(1+'Retirement Setup'!E14)^(B52-'Retirement Setup'!E8)-IF(B52&gt;='Retirement Setup'!E18,'Retirement Setup'!E17,0))*12))</f>
        <v>-57737</v>
      </c>
      <c r="E52" s="31">
        <f>IF(C52&lt;=0,0,C52*'Retirement Setup'!E13)</f>
        <v>372169</v>
      </c>
      <c r="F52" s="31">
        <f>MAX(0,C52+D52+E52)</f>
        <v>5631132</v>
      </c>
    </row>
    <row r="53" ht="26" customHeight="1" spans="1:6" x14ac:dyDescent="0.25">
      <c r="A53" s="28">
        <f>49</f>
        <v>49</v>
      </c>
      <c r="B53" s="28">
        <f>'Retirement Setup'!E7+48</f>
        <v>83</v>
      </c>
      <c r="C53" s="29">
        <f>IF(F52&lt;0,0,F52)</f>
        <v>5631132</v>
      </c>
      <c r="D53" s="29">
        <f>IF(C53&lt;=0,0,-MAX(0,('Retirement Setup'!E16*(1+'Retirement Setup'!E14)^(B53-'Retirement Setup'!E8)-IF(B53&gt;='Retirement Setup'!E18,'Retirement Setup'!E17,0))*12))</f>
        <v>-60117</v>
      </c>
      <c r="E53" s="29">
        <f>IF(C53&lt;=0,0,C53*'Retirement Setup'!E13)</f>
        <v>394179</v>
      </c>
      <c r="F53" s="29">
        <f>MAX(0,C53+D53+E53)</f>
        <v>5965195</v>
      </c>
    </row>
    <row r="54" ht="26" customHeight="1" spans="1:6" x14ac:dyDescent="0.25">
      <c r="A54" s="30">
        <f>50</f>
        <v>50</v>
      </c>
      <c r="B54" s="30">
        <f>'Retirement Setup'!E7+49</f>
        <v>84</v>
      </c>
      <c r="C54" s="31">
        <f>IF(F53&lt;0,0,F53)</f>
        <v>5965195</v>
      </c>
      <c r="D54" s="31">
        <f>IF(C54&lt;=0,0,-MAX(0,('Retirement Setup'!E16*(1+'Retirement Setup'!E14)^(B54-'Retirement Setup'!E8)-IF(B54&gt;='Retirement Setup'!E18,'Retirement Setup'!E17,0))*12))</f>
        <v>-62568</v>
      </c>
      <c r="E54" s="31">
        <f>IF(C54&lt;=0,0,C54*'Retirement Setup'!E13)</f>
        <v>417564</v>
      </c>
      <c r="F54" s="31">
        <f>MAX(0,C54+D54+E54)</f>
        <v>6320190</v>
      </c>
    </row>
    <row r="55" ht="26" customHeight="1" spans="1:6" x14ac:dyDescent="0.25">
      <c r="A55" s="28">
        <f>51</f>
        <v>51</v>
      </c>
      <c r="B55" s="28">
        <f>'Retirement Setup'!E7+50</f>
        <v>85</v>
      </c>
      <c r="C55" s="29">
        <f>IF(F54&lt;0,0,F54)</f>
        <v>6320190</v>
      </c>
      <c r="D55" s="29">
        <f>IF(C55&lt;=0,0,-MAX(0,('Retirement Setup'!E16*(1+'Retirement Setup'!E14)^(B55-'Retirement Setup'!E8)-IF(B55&gt;='Retirement Setup'!E18,'Retirement Setup'!E17,0))*12))</f>
        <v>-65093</v>
      </c>
      <c r="E55" s="29">
        <f>IF(C55&lt;=0,0,C55*'Retirement Setup'!E13)</f>
        <v>442413</v>
      </c>
      <c r="F55" s="29">
        <f>MAX(0,C55+D55+E55)</f>
        <v>6697510</v>
      </c>
    </row>
    <row r="56" ht="26" customHeight="1" spans="1:6" x14ac:dyDescent="0.25">
      <c r="A56" s="30">
        <f>52</f>
        <v>52</v>
      </c>
      <c r="B56" s="30">
        <f>'Retirement Setup'!E7+51</f>
        <v>86</v>
      </c>
      <c r="C56" s="31">
        <f>IF(F55&lt;0,0,F55)</f>
        <v>6697510</v>
      </c>
      <c r="D56" s="31">
        <f>IF(C56&lt;=0,0,-MAX(0,('Retirement Setup'!E16*(1+'Retirement Setup'!E14)^(B56-'Retirement Setup'!E8)-IF(B56&gt;='Retirement Setup'!E18,'Retirement Setup'!E17,0))*12))</f>
        <v>-67694</v>
      </c>
      <c r="E56" s="31">
        <f>IF(C56&lt;=0,0,C56*'Retirement Setup'!E13)</f>
        <v>468826</v>
      </c>
      <c r="F56" s="31">
        <f>MAX(0,C56+D56+E56)</f>
        <v>7098642</v>
      </c>
    </row>
    <row r="57" ht="26" customHeight="1" spans="1:6" x14ac:dyDescent="0.25">
      <c r="A57" s="28">
        <f>53</f>
        <v>53</v>
      </c>
      <c r="B57" s="28">
        <f>'Retirement Setup'!E7+52</f>
        <v>87</v>
      </c>
      <c r="C57" s="29">
        <f>IF(F56&lt;0,0,F56)</f>
        <v>7098642</v>
      </c>
      <c r="D57" s="29">
        <f>IF(C57&lt;=0,0,-MAX(0,('Retirement Setup'!E16*(1+'Retirement Setup'!E14)^(B57-'Retirement Setup'!E8)-IF(B57&gt;='Retirement Setup'!E18,'Retirement Setup'!E17,0))*12))</f>
        <v>-70373</v>
      </c>
      <c r="E57" s="29">
        <f>IF(C57&lt;=0,0,C57*'Retirement Setup'!E13)</f>
        <v>496905</v>
      </c>
      <c r="F57" s="29">
        <f>MAX(0,C57+D57+E57)</f>
        <v>7525174</v>
      </c>
    </row>
    <row r="58" ht="26" customHeight="1" spans="1:6" x14ac:dyDescent="0.25">
      <c r="A58" s="30">
        <f>54</f>
        <v>54</v>
      </c>
      <c r="B58" s="30">
        <f>'Retirement Setup'!E7+53</f>
        <v>88</v>
      </c>
      <c r="C58" s="31">
        <f>IF(F57&lt;0,0,F57)</f>
        <v>7525174</v>
      </c>
      <c r="D58" s="31">
        <f>IF(C58&lt;=0,0,-MAX(0,('Retirement Setup'!E16*(1+'Retirement Setup'!E14)^(B58-'Retirement Setup'!E8)-IF(B58&gt;='Retirement Setup'!E18,'Retirement Setup'!E17,0))*12))</f>
        <v>-73132</v>
      </c>
      <c r="E58" s="31">
        <f>IF(C58&lt;=0,0,C58*'Retirement Setup'!E13)</f>
        <v>526762</v>
      </c>
      <c r="F58" s="31">
        <f>MAX(0,C58+D58+E58)</f>
        <v>7978804</v>
      </c>
    </row>
    <row r="59" ht="26" customHeight="1" spans="1:6" x14ac:dyDescent="0.25">
      <c r="A59" s="28">
        <f>55</f>
        <v>55</v>
      </c>
      <c r="B59" s="28">
        <f>'Retirement Setup'!E7+54</f>
        <v>89</v>
      </c>
      <c r="C59" s="29">
        <f>IF(F58&lt;0,0,F58)</f>
        <v>7978804</v>
      </c>
      <c r="D59" s="29">
        <f>IF(C59&lt;=0,0,-MAX(0,('Retirement Setup'!E16*(1+'Retirement Setup'!E14)^(B59-'Retirement Setup'!E8)-IF(B59&gt;='Retirement Setup'!E18,'Retirement Setup'!E17,0))*12))</f>
        <v>-75974</v>
      </c>
      <c r="E59" s="29">
        <f>IF(C59&lt;=0,0,C59*'Retirement Setup'!E13)</f>
        <v>558516</v>
      </c>
      <c r="F59" s="29">
        <f>MAX(0,C59+D59+E59)</f>
        <v>8461346</v>
      </c>
    </row>
    <row r="60" ht="10" customHeight="1" x14ac:dyDescent="0.25"/>
    <row r="61" ht="6" customHeight="1" x14ac:dyDescent="0.25"/>
    <row r="62" ht="20" customHeight="1" spans="1:6" x14ac:dyDescent="0.25">
      <c r="A62" s="13" t="s">
        <v>17</v>
      </c>
      <c r="B62" s="13"/>
      <c r="C62" s="13"/>
      <c r="D62" s="13"/>
      <c r="E62" s="13"/>
      <c r="F62" s="13"/>
    </row>
    <row r="63" ht="20" customHeight="1" spans="1:6" x14ac:dyDescent="0.25">
      <c r="A63" s="14" t="s">
        <v>18</v>
      </c>
      <c r="B63" s="14"/>
      <c r="C63" s="14"/>
      <c r="D63" s="14"/>
      <c r="E63" s="14"/>
      <c r="F63" s="14"/>
    </row>
  </sheetData>
  <sheetProtection sheet="1"/>
  <mergeCells count="4">
    <mergeCell ref="A1:F1"/>
    <mergeCell ref="A2:F2"/>
    <mergeCell ref="A62:F62"/>
    <mergeCell ref="A63:F63"/>
  </mergeCells>
  <hyperlinks>
    <hyperlink ref="A6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4" t="s">
        <v>84</v>
      </c>
    </row>
    <row r="2" ht="20" customHeight="1" spans="2:2" x14ac:dyDescent="0.25">
      <c r="B2" s="35" t="s">
        <v>85</v>
      </c>
    </row>
    <row r="3" ht="16" customHeight="1" x14ac:dyDescent="0.25"/>
    <row r="4" ht="28" customHeight="1" spans="1:2" x14ac:dyDescent="0.25">
      <c r="A4" s="36" t="s">
        <v>86</v>
      </c>
      <c r="B4" s="12"/>
    </row>
    <row r="6" ht="24" customHeight="1" spans="2:2" x14ac:dyDescent="0.25">
      <c r="B6" s="37" t="s">
        <v>87</v>
      </c>
    </row>
    <row r="7" ht="24" customHeight="1" spans="2:2" x14ac:dyDescent="0.25">
      <c r="B7" s="37" t="s">
        <v>88</v>
      </c>
    </row>
    <row r="8" ht="24" customHeight="1" spans="2:2" x14ac:dyDescent="0.25">
      <c r="B8" s="37" t="s">
        <v>89</v>
      </c>
    </row>
    <row r="9" ht="24" customHeight="1" spans="2:2" x14ac:dyDescent="0.25">
      <c r="B9" s="37" t="s">
        <v>90</v>
      </c>
    </row>
    <row r="10" ht="24" customHeight="1" spans="2:2" x14ac:dyDescent="0.25">
      <c r="B10" s="37" t="s">
        <v>91</v>
      </c>
    </row>
    <row r="11" ht="12" customHeight="1" x14ac:dyDescent="0.25"/>
    <row r="12" ht="28" customHeight="1" spans="1:2" x14ac:dyDescent="0.25">
      <c r="A12" s="36" t="s">
        <v>92</v>
      </c>
      <c r="B12" s="12"/>
    </row>
    <row r="14" ht="24" customHeight="1" spans="2:2" x14ac:dyDescent="0.25">
      <c r="B14" s="37" t="s">
        <v>93</v>
      </c>
    </row>
    <row r="15" ht="24" customHeight="1" spans="2:2" x14ac:dyDescent="0.25">
      <c r="B15" s="37" t="s">
        <v>94</v>
      </c>
    </row>
    <row r="16" ht="24" customHeight="1" spans="2:2" x14ac:dyDescent="0.25">
      <c r="B16" s="37" t="s">
        <v>95</v>
      </c>
    </row>
    <row r="17" ht="24" customHeight="1" spans="2:2" x14ac:dyDescent="0.25">
      <c r="B17" s="37" t="s">
        <v>96</v>
      </c>
    </row>
    <row r="18" ht="24" customHeight="1" spans="2:2" x14ac:dyDescent="0.25">
      <c r="B18" s="37" t="s">
        <v>97</v>
      </c>
    </row>
    <row r="19" ht="24" customHeight="1" spans="2:2" x14ac:dyDescent="0.25">
      <c r="B19" s="37" t="s">
        <v>98</v>
      </c>
    </row>
    <row r="20" ht="24" customHeight="1" spans="2:2" x14ac:dyDescent="0.25">
      <c r="B20" s="37" t="s">
        <v>99</v>
      </c>
    </row>
    <row r="21" ht="24" customHeight="1" spans="2:2" x14ac:dyDescent="0.25">
      <c r="B21" s="37" t="s">
        <v>100</v>
      </c>
    </row>
    <row r="22" ht="24" customHeight="1" spans="2:2" x14ac:dyDescent="0.25">
      <c r="B22" s="37" t="s">
        <v>101</v>
      </c>
    </row>
    <row r="23" ht="24" customHeight="1" spans="2:2" x14ac:dyDescent="0.25">
      <c r="B23" s="37" t="s">
        <v>102</v>
      </c>
    </row>
    <row r="24" ht="12" customHeight="1" x14ac:dyDescent="0.25"/>
    <row r="25" ht="28" customHeight="1" spans="1:2" x14ac:dyDescent="0.25">
      <c r="A25" s="36" t="s">
        <v>103</v>
      </c>
      <c r="B25" s="12"/>
    </row>
    <row r="27" ht="24" customHeight="1" spans="2:2" x14ac:dyDescent="0.25">
      <c r="B27" s="37" t="s">
        <v>104</v>
      </c>
    </row>
    <row r="28" ht="24" customHeight="1" spans="2:2" x14ac:dyDescent="0.25">
      <c r="B28" s="37" t="s">
        <v>105</v>
      </c>
    </row>
    <row r="29" ht="24" customHeight="1" spans="2:2" x14ac:dyDescent="0.25">
      <c r="B29" s="37" t="s">
        <v>106</v>
      </c>
    </row>
    <row r="30" ht="24" customHeight="1" spans="2:2" x14ac:dyDescent="0.25">
      <c r="B30" s="37" t="s">
        <v>107</v>
      </c>
    </row>
    <row r="31" ht="24" customHeight="1" spans="2:2" x14ac:dyDescent="0.25">
      <c r="B31" s="37" t="s">
        <v>108</v>
      </c>
    </row>
    <row r="32" ht="24" customHeight="1" spans="2:2" x14ac:dyDescent="0.25">
      <c r="B32" s="37" t="s">
        <v>109</v>
      </c>
    </row>
    <row r="33" ht="24" customHeight="1" spans="2:2" x14ac:dyDescent="0.25">
      <c r="B33" s="37" t="s">
        <v>110</v>
      </c>
    </row>
    <row r="34" ht="12" customHeight="1" x14ac:dyDescent="0.25"/>
    <row r="35" ht="28" customHeight="1" spans="1:2" x14ac:dyDescent="0.25">
      <c r="A35" s="36" t="s">
        <v>111</v>
      </c>
      <c r="B35" s="12"/>
    </row>
    <row r="37" ht="24" customHeight="1" spans="2:2" x14ac:dyDescent="0.25">
      <c r="B37" s="37" t="s">
        <v>112</v>
      </c>
    </row>
    <row r="38" ht="24" customHeight="1" spans="2:2" x14ac:dyDescent="0.25">
      <c r="B38" s="37" t="s">
        <v>113</v>
      </c>
    </row>
    <row r="39" ht="24" customHeight="1" spans="2:2" x14ac:dyDescent="0.25">
      <c r="B39" s="37" t="s">
        <v>114</v>
      </c>
    </row>
    <row r="40" ht="24" customHeight="1" spans="2:2" x14ac:dyDescent="0.25">
      <c r="B40" s="37" t="s">
        <v>115</v>
      </c>
    </row>
    <row r="41" ht="24" customHeight="1" spans="2:2" x14ac:dyDescent="0.25">
      <c r="B41" s="37" t="s">
        <v>116</v>
      </c>
    </row>
    <row r="42" ht="24" customHeight="1" spans="2:2" x14ac:dyDescent="0.25">
      <c r="B42" s="37" t="s">
        <v>117</v>
      </c>
    </row>
    <row r="43" ht="24" customHeight="1" spans="2:2" x14ac:dyDescent="0.25">
      <c r="B43" s="37" t="s">
        <v>118</v>
      </c>
    </row>
    <row r="44" ht="24" customHeight="1" spans="2:2" x14ac:dyDescent="0.25">
      <c r="B44" s="37" t="s">
        <v>119</v>
      </c>
    </row>
    <row r="45" ht="12" customHeight="1" x14ac:dyDescent="0.25"/>
    <row r="46" ht="28" customHeight="1" spans="1:2" x14ac:dyDescent="0.25">
      <c r="A46" s="36" t="s">
        <v>120</v>
      </c>
      <c r="B46" s="12"/>
    </row>
    <row r="48" ht="24" customHeight="1" spans="2:2" x14ac:dyDescent="0.25">
      <c r="B48" s="37" t="s">
        <v>121</v>
      </c>
    </row>
    <row r="49" ht="24" customHeight="1" spans="2:2" x14ac:dyDescent="0.25">
      <c r="B49" s="37" t="s">
        <v>122</v>
      </c>
    </row>
    <row r="50" ht="24" customHeight="1" spans="2:2" x14ac:dyDescent="0.25">
      <c r="B50" s="37" t="s">
        <v>123</v>
      </c>
    </row>
    <row r="51" ht="24" customHeight="1" spans="2:2" x14ac:dyDescent="0.25">
      <c r="B51" s="37" t="s">
        <v>124</v>
      </c>
    </row>
    <row r="52" ht="24" customHeight="1" spans="2:2" x14ac:dyDescent="0.25">
      <c r="B52" s="37" t="s">
        <v>125</v>
      </c>
    </row>
    <row r="53" ht="12" customHeight="1" x14ac:dyDescent="0.25"/>
    <row r="54" ht="28" customHeight="1" spans="1:2" x14ac:dyDescent="0.25">
      <c r="A54" s="36" t="s">
        <v>126</v>
      </c>
      <c r="B54" s="12"/>
    </row>
    <row r="56" ht="24" customHeight="1" spans="2:2" x14ac:dyDescent="0.25">
      <c r="B56" s="37" t="s">
        <v>127</v>
      </c>
    </row>
    <row r="57" ht="24" customHeight="1" spans="2:2" x14ac:dyDescent="0.25">
      <c r="B57" s="37" t="s">
        <v>128</v>
      </c>
    </row>
    <row r="58" ht="24" customHeight="1" spans="2:2" x14ac:dyDescent="0.25">
      <c r="B58" s="37" t="s">
        <v>129</v>
      </c>
    </row>
    <row r="59" ht="12" customHeight="1" x14ac:dyDescent="0.25"/>
    <row r="60" ht="28" customHeight="1" spans="1:2" x14ac:dyDescent="0.25">
      <c r="A60" s="36" t="s">
        <v>130</v>
      </c>
      <c r="B60" s="12"/>
    </row>
    <row r="62" ht="24" customHeight="1" spans="2:2" x14ac:dyDescent="0.25">
      <c r="B62" s="37" t="s">
        <v>131</v>
      </c>
    </row>
    <row r="63" ht="24" customHeight="1" spans="2:2" x14ac:dyDescent="0.25">
      <c r="B63" s="37" t="s">
        <v>132</v>
      </c>
    </row>
    <row r="64" ht="24" customHeight="1" spans="2:2" x14ac:dyDescent="0.25">
      <c r="B64" s="37" t="s">
        <v>133</v>
      </c>
    </row>
    <row r="65" ht="24" customHeight="1" spans="2:2" x14ac:dyDescent="0.25">
      <c r="B65" s="37" t="s">
        <v>134</v>
      </c>
    </row>
    <row r="66" ht="24" customHeight="1" spans="2:2" x14ac:dyDescent="0.25">
      <c r="B66" s="37" t="s">
        <v>135</v>
      </c>
    </row>
    <row r="67" ht="12" customHeight="1" x14ac:dyDescent="0.25"/>
    <row r="68" ht="28" customHeight="1" spans="1:2" x14ac:dyDescent="0.25">
      <c r="A68" s="36" t="s">
        <v>136</v>
      </c>
      <c r="B68" s="12"/>
    </row>
    <row r="70" ht="24" customHeight="1" spans="2:2" x14ac:dyDescent="0.25">
      <c r="B70" s="37" t="s">
        <v>137</v>
      </c>
    </row>
    <row r="71" ht="24" customHeight="1" spans="2:2" x14ac:dyDescent="0.25">
      <c r="B71" s="37" t="s">
        <v>138</v>
      </c>
    </row>
    <row r="72" ht="12" customHeight="1" x14ac:dyDescent="0.25"/>
    <row r="73" ht="6" customHeight="1" x14ac:dyDescent="0.25"/>
    <row r="74" ht="20" customHeight="1" spans="1:2" x14ac:dyDescent="0.25">
      <c r="A74" s="38" t="s">
        <v>17</v>
      </c>
      <c r="B74" s="38"/>
    </row>
    <row r="75" ht="20" customHeight="1" spans="1:2" x14ac:dyDescent="0.25">
      <c r="A75" s="39" t="s">
        <v>18</v>
      </c>
      <c r="B75" s="39"/>
    </row>
  </sheetData>
  <mergeCells count="2">
    <mergeCell ref="A74:B74"/>
    <mergeCell ref="A75:B75"/>
  </mergeCells>
  <hyperlinks>
    <hyperlink ref="A7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Retirement Setup</vt:lpstr>
      <vt:lpstr>Projection Table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Retirement Calculator</dc:title>
  <dc:subject>Financial Template</dc:subject>
  <dc:description>Free Retirement Calculator template by FinancialAha.com</dc:description>
  <cp:keywords>finance, template, spreadsheet, FinancialAha</cp:keywords>
  <cp:category>Finance</cp:category>
  <cp:lastModifiedBy>Unknown</cp:lastModifiedBy>
  <cp:lastPrinted>2026-04-01T18:01:40Z</cp:lastPrinted>
  <dcterms:created xsi:type="dcterms:W3CDTF">2026-04-01T18:01:40Z</dcterms:created>
  <dcterms:modified xsi:type="dcterms:W3CDTF">2026-04-01T18:01:40Z</dcterms:modified>
</cp:coreProperties>
</file>