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Mortgage Setup" state="visible" r:id="rId5"/>
    <sheet sheetId="3" name="Amortization Schedule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<sst xmlns="http://schemas.openxmlformats.org/spreadsheetml/2006/main" count="114" uniqueCount="107">
  <si>
    <t>Mortgage Payoff Calculator</t>
  </si>
  <si>
    <t>See how extra payments accelerate your mortgage payoff</t>
  </si>
  <si>
    <t>by FinancialAha.com</t>
  </si>
  <si>
    <t>MONTHLY P&amp;I</t>
  </si>
  <si>
    <t>EXTRA PAYMENT</t>
  </si>
  <si>
    <t>TOTAL INTEREST</t>
  </si>
  <si>
    <t>scheduled principal + interest</t>
  </si>
  <si>
    <t>additional principal each month</t>
  </si>
  <si>
    <t>with extra payments applied</t>
  </si>
  <si>
    <t>PAYOFF DATE</t>
  </si>
  <si>
    <t>TIME SAVED</t>
  </si>
  <si>
    <t>INTEREST SAVED</t>
  </si>
  <si>
    <t>earlier than standard schedule</t>
  </si>
  <si>
    <t>total interest reduction</t>
  </si>
  <si>
    <t>LOAN BALANCE: WITH VS. WITHOUT EXTRA PAYMENTS</t>
  </si>
  <si>
    <t>Created with FinancialAha.com - Free financial tools and templates</t>
  </si>
  <si>
    <t>Get a premium spreadsheet from FinancialAha.com</t>
  </si>
  <si>
    <t/>
  </si>
  <si>
    <t>Yr 1</t>
  </si>
  <si>
    <t>Yr 2</t>
  </si>
  <si>
    <t>Yr 3</t>
  </si>
  <si>
    <t>Yr 4</t>
  </si>
  <si>
    <t>Yr 6</t>
  </si>
  <si>
    <t>Yr 7</t>
  </si>
  <si>
    <t>Yr 8</t>
  </si>
  <si>
    <t>Yr 9</t>
  </si>
  <si>
    <t>Yr 11</t>
  </si>
  <si>
    <t>Yr 12</t>
  </si>
  <si>
    <t>Yr 13</t>
  </si>
  <si>
    <t>Yr 14</t>
  </si>
  <si>
    <t>Yr 16</t>
  </si>
  <si>
    <t>Yr 17</t>
  </si>
  <si>
    <t>Yr 18</t>
  </si>
  <si>
    <t>Yr 19</t>
  </si>
  <si>
    <t>Yr 21</t>
  </si>
  <si>
    <t>Yr 22</t>
  </si>
  <si>
    <t>Yr 23</t>
  </si>
  <si>
    <t>Yr 24</t>
  </si>
  <si>
    <t>Yr 26</t>
  </si>
  <si>
    <t>Yr 27</t>
  </si>
  <si>
    <t>Yr 28</t>
  </si>
  <si>
    <t>Yr 29</t>
  </si>
  <si>
    <t>With Extra</t>
  </si>
  <si>
    <t>Without Extra</t>
  </si>
  <si>
    <t>Mortgage Setup</t>
  </si>
  <si>
    <t>Enter your mortgage details in the yellow cells below.</t>
  </si>
  <si>
    <t>LOAN DETAILS</t>
  </si>
  <si>
    <t>Loan Amount</t>
  </si>
  <si>
    <t>Original mortgage balance</t>
  </si>
  <si>
    <t>Annual Interest Rate</t>
  </si>
  <si>
    <t>APR as a percentage (e.g. 6.50%)</t>
  </si>
  <si>
    <t>Loan Term (years)</t>
  </si>
  <si>
    <t>15 or 30 years typical</t>
  </si>
  <si>
    <t>Start Date</t>
  </si>
  <si>
    <t>First payment date</t>
  </si>
  <si>
    <t>Extra Monthly Payment</t>
  </si>
  <si>
    <t>Additional principal each month</t>
  </si>
  <si>
    <t>PAYMENT DETAILS</t>
  </si>
  <si>
    <t>Monthly P&amp;I Payment</t>
  </si>
  <si>
    <t>Total Paid (with extra)</t>
  </si>
  <si>
    <t>Total Interest Paid</t>
  </si>
  <si>
    <t>Interest Without Extra</t>
  </si>
  <si>
    <t>Interest Saved</t>
  </si>
  <si>
    <t>PAYOFF TIMELINE</t>
  </si>
  <si>
    <t>Payoff Month (with extra)</t>
  </si>
  <si>
    <t>Payoff Month (standard)</t>
  </si>
  <si>
    <t>Months Saved</t>
  </si>
  <si>
    <t>Payoff Date</t>
  </si>
  <si>
    <t>Amortization Schedule</t>
  </si>
  <si>
    <t>Month-by-month breakdown showing how extra payments accelerate payoff.</t>
  </si>
  <si>
    <t>#</t>
  </si>
  <si>
    <t>Date</t>
  </si>
  <si>
    <t>Scheduled Pmt</t>
  </si>
  <si>
    <t>Principal</t>
  </si>
  <si>
    <t>Interest</t>
  </si>
  <si>
    <t>Extra Payment</t>
  </si>
  <si>
    <t>Total Payment</t>
  </si>
  <si>
    <t>Balance</t>
  </si>
  <si>
    <t>Cumulative Interest</t>
  </si>
  <si>
    <t>How to Use This Template</t>
  </si>
  <si>
    <t>Mortgage Payoff Calculator by FinancialAha.com</t>
  </si>
  <si>
    <t>GETTING STARTED</t>
  </si>
  <si>
    <t>1. Go to the "Mortgage Setup" sheet and enter your details in the yellow cells.</t>
  </si>
  <si>
    <t>2. Enter your Loan Amount (the current mortgage balance).</t>
  </si>
  <si>
    <t>3. Set your Annual Interest Rate and Loan Term.</t>
  </si>
  <si>
    <t>4. Enter the Start Date for your first payment.</t>
  </si>
  <si>
    <t>5. Enter how much Extra you plan to pay each month toward principal.</t>
  </si>
  <si>
    <t>UNDERSTANDING THE DASHBOARD</t>
  </si>
  <si>
    <t>Top KPIs show your scheduled monthly payment, extra payment amount, and total interest with extra payments.</t>
  </si>
  <si>
    <t>Bottom KPIs show your new payoff date, how much time you save, and total interest saved.</t>
  </si>
  <si>
    <t>The chart compares your loan balance over time with and without extra payments.</t>
  </si>
  <si>
    <t>EXTRA PAYMENTS</t>
  </si>
  <si>
    <t>Extra payments go directly toward principal, reducing the balance faster.</t>
  </si>
  <si>
    <t>Even $100/month extra on a 30-year mortgage can save years and tens of thousands in interest.</t>
  </si>
  <si>
    <t>Try different amounts to find what works for your budget.</t>
  </si>
  <si>
    <t>The amortization schedule shows rows going to zero before month 360 when extra payments are applied.</t>
  </si>
  <si>
    <t>READING THE AMORTIZATION SCHEDULE</t>
  </si>
  <si>
    <t>Each row represents one monthly payment.</t>
  </si>
  <si>
    <t>Scheduled Payment = the standard P&amp;I amount (stays constant for fixed-rate loans).</t>
  </si>
  <si>
    <t>Principal = the portion that reduces your loan balance.</t>
  </si>
  <si>
    <t>Interest = the portion that goes to the lender.</t>
  </si>
  <si>
    <t>Extra Payment = any additional amount applied directly to principal.</t>
  </si>
  <si>
    <t>Balance = what you still owe after that month's payment.</t>
  </si>
  <si>
    <t>COMPATIBILITY</t>
  </si>
  <si>
    <t>This template works in Microsoft Excel, Google Sheets, and LibreOffice Calc.</t>
  </si>
  <si>
    <t>No macros or VBA required - everything is formula-driven.</t>
  </si>
  <si>
    <t>Yellow cells are editable inputs. Green cells contain formulas - avoid overwriting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</si>
</sst>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.00"/>
    <numFmt numFmtId="165" formatCode="$#,##0"/>
    <numFmt numFmtId="166" formatCode="MMM YYYY"/>
  </numFmts>
  <fonts count="21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4213D"/>
      <sz val="16"/>
      <name val="Aptos"/>
    </font>
    <font>
      <b/>
      <color rgb="FFFFFF"/>
      <sz val="10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165" fontId="7" fillId="0" borderId="2" xfId="0" applyNumberFormat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top"/>
    </xf>
    <xf numFmtId="166" fontId="5" fillId="0" borderId="2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165" fontId="6" fillId="0" borderId="2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5" fillId="0" borderId="0" xfId="0" applyFont="1" applyAlignment="1" applyProtection="1">
      <alignment horizontal="left" vertical="center" indent="1"/>
    </xf>
    <xf numFmtId="165" fontId="16" fillId="2" borderId="5" xfId="0" applyNumberFormat="1" applyFont="1" applyFill="1" applyBorder="1" applyAlignment="1" applyProtection="1">
      <alignment horizontal="right" vertical="center"/>
      <protection locked="0"/>
    </xf>
    <xf numFmtId="10" fontId="16" fillId="2" borderId="5" xfId="0" applyNumberFormat="1" applyFont="1" applyFill="1" applyBorder="1" applyAlignment="1" applyProtection="1">
      <alignment horizontal="right" vertical="center"/>
      <protection locked="0"/>
    </xf>
    <xf numFmtId="3" fontId="16" fillId="2" borderId="5" xfId="0" applyNumberFormat="1" applyFont="1" applyFill="1" applyBorder="1" applyAlignment="1" applyProtection="1">
      <alignment horizontal="right" vertical="center"/>
      <protection locked="0"/>
    </xf>
    <xf numFmtId="166" fontId="16" fillId="2" borderId="5" xfId="0" applyNumberFormat="1" applyFont="1" applyFill="1" applyBorder="1" applyAlignment="1" applyProtection="1">
      <alignment horizontal="right" vertical="center"/>
      <protection locked="0"/>
    </xf>
    <xf numFmtId="164" fontId="16" fillId="2" borderId="5" xfId="0" applyNumberFormat="1" applyFont="1" applyFill="1" applyBorder="1" applyAlignment="1" applyProtection="1">
      <alignment horizontal="right" vertical="center"/>
      <protection locked="0"/>
    </xf>
    <xf numFmtId="164" fontId="17" fillId="3" borderId="6" xfId="0" applyNumberFormat="1" applyFont="1" applyFill="1" applyBorder="1" applyAlignment="1" applyProtection="1">
      <alignment horizontal="right" vertical="center"/>
    </xf>
    <xf numFmtId="165" fontId="17" fillId="3" borderId="6" xfId="0" applyNumberFormat="1" applyFont="1" applyFill="1" applyBorder="1" applyAlignment="1" applyProtection="1">
      <alignment horizontal="right" vertical="center"/>
    </xf>
    <xf numFmtId="164" fontId="18" fillId="3" borderId="6" xfId="0" applyNumberFormat="1" applyFont="1" applyFill="1" applyBorder="1" applyAlignment="1" applyProtection="1">
      <alignment horizontal="center" vertical="center"/>
    </xf>
    <xf numFmtId="3" fontId="17" fillId="3" borderId="6" xfId="0" applyNumberFormat="1" applyFont="1" applyFill="1" applyBorder="1" applyAlignment="1" applyProtection="1">
      <alignment horizontal="right" vertical="center"/>
    </xf>
    <xf numFmtId="166" fontId="17" fillId="3" borderId="6" xfId="0" applyNumberFormat="1" applyFont="1" applyFill="1" applyBorder="1" applyAlignment="1" applyProtection="1">
      <alignment horizontal="right" vertical="center"/>
    </xf>
    <xf numFmtId="0" fontId="19" fillId="4" borderId="0" xfId="0" applyFont="1" applyFill="1" applyAlignment="1" applyProtection="1">
      <alignment horizontal="left" vertical="center" wrapText="1" indent="1"/>
    </xf>
    <xf numFmtId="0" fontId="19" fillId="4" borderId="0" xfId="0" applyFont="1" applyFill="1" applyAlignment="1" applyProtection="1">
      <alignment horizontal="center" vertical="center" wrapText="1"/>
    </xf>
    <xf numFmtId="0" fontId="16" fillId="0" borderId="7" xfId="0" applyFont="1" applyBorder="1" applyAlignment="1" applyProtection="1">
      <alignment vertical="center" indent="1"/>
    </xf>
    <xf numFmtId="166" fontId="16" fillId="0" borderId="7" xfId="0" applyNumberFormat="1" applyFont="1" applyBorder="1" applyAlignment="1" applyProtection="1">
      <alignment horizontal="right" vertical="center"/>
    </xf>
    <xf numFmtId="164" fontId="16" fillId="0" borderId="7" xfId="0" applyNumberFormat="1" applyFont="1" applyBorder="1" applyAlignment="1" applyProtection="1">
      <alignment horizontal="right" vertical="center"/>
    </xf>
    <xf numFmtId="0" fontId="16" fillId="5" borderId="7" xfId="0" applyFont="1" applyFill="1" applyBorder="1" applyAlignment="1" applyProtection="1">
      <alignment vertical="center" indent="1"/>
    </xf>
    <xf numFmtId="166" fontId="16" fillId="5" borderId="7" xfId="0" applyNumberFormat="1" applyFont="1" applyFill="1" applyBorder="1" applyAlignment="1" applyProtection="1">
      <alignment horizontal="right" vertical="center"/>
    </xf>
    <xf numFmtId="164" fontId="16" fillId="5" borderId="7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Loan Balance Over Time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Dashboard!$B$33</c:f>
              <c:strCache>
                <c:ptCount val="1"/>
                <c:pt idx="0">
                  <c:v>With Extra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Dashboard!$C$32:$Z$32</c:f>
              <c:strCache>
                <c:ptCount val="24"/>
                <c:pt idx="0">
                  <c:v>Yr 1</c:v>
                </c:pt>
                <c:pt idx="1">
                  <c:v>Yr 2</c:v>
                </c:pt>
                <c:pt idx="2">
                  <c:v>Yr 3</c:v>
                </c:pt>
                <c:pt idx="3">
                  <c:v>Yr 4</c:v>
                </c:pt>
                <c:pt idx="4">
                  <c:v>Yr 6</c:v>
                </c:pt>
                <c:pt idx="5">
                  <c:v>Yr 7</c:v>
                </c:pt>
                <c:pt idx="6">
                  <c:v>Yr 8</c:v>
                </c:pt>
                <c:pt idx="7">
                  <c:v>Yr 9</c:v>
                </c:pt>
                <c:pt idx="8">
                  <c:v>Yr 11</c:v>
                </c:pt>
                <c:pt idx="9">
                  <c:v>Yr 12</c:v>
                </c:pt>
                <c:pt idx="10">
                  <c:v>Yr 13</c:v>
                </c:pt>
                <c:pt idx="11">
                  <c:v>Yr 14</c:v>
                </c:pt>
                <c:pt idx="12">
                  <c:v>Yr 16</c:v>
                </c:pt>
                <c:pt idx="13">
                  <c:v>Yr 17</c:v>
                </c:pt>
                <c:pt idx="14">
                  <c:v>Yr 18</c:v>
                </c:pt>
                <c:pt idx="15">
                  <c:v>Yr 19</c:v>
                </c:pt>
                <c:pt idx="16">
                  <c:v>Yr 21</c:v>
                </c:pt>
                <c:pt idx="17">
                  <c:v>Yr 22</c:v>
                </c:pt>
                <c:pt idx="18">
                  <c:v>Yr 23</c:v>
                </c:pt>
                <c:pt idx="19">
                  <c:v>Yr 24</c:v>
                </c:pt>
                <c:pt idx="20">
                  <c:v>Yr 26</c:v>
                </c:pt>
                <c:pt idx="21">
                  <c:v>Yr 27</c:v>
                </c:pt>
                <c:pt idx="22">
                  <c:v>Yr 28</c:v>
                </c:pt>
                <c:pt idx="23">
                  <c:v>Yr 29</c:v>
                </c:pt>
              </c:strCache>
            </c:strRef>
          </c:cat>
          <c:val>
            <c:numRef>
              <c:f>Dashboard!$C$33:$Z$33</c:f>
              <c:numCache>
                <c:formatCode>$#,##0</c:formatCode>
                <c:ptCount val="24"/>
                <c:pt idx="0">
                  <c:v>279546.88</c:v>
                </c:pt>
                <c:pt idx="1">
                  <c:v>272447.9</c:v>
                </c:pt>
                <c:pt idx="2">
                  <c:v>264749.75</c:v>
                </c:pt>
                <c:pt idx="3">
                  <c:v>256401.83</c:v>
                </c:pt>
                <c:pt idx="4">
                  <c:v>247349.33</c:v>
                </c:pt>
                <c:pt idx="5">
                  <c:v>237532.79</c:v>
                </c:pt>
                <c:pt idx="6">
                  <c:v>226887.68</c:v>
                </c:pt>
                <c:pt idx="7">
                  <c:v>215344.07</c:v>
                </c:pt>
                <c:pt idx="8">
                  <c:v>202826.12</c:v>
                </c:pt>
                <c:pt idx="9">
                  <c:v>189251.6</c:v>
                </c:pt>
                <c:pt idx="10">
                  <c:v>174531.36</c:v>
                </c:pt>
                <c:pt idx="11">
                  <c:v>158568.65</c:v>
                </c:pt>
                <c:pt idx="12">
                  <c:v>141258.62</c:v>
                </c:pt>
                <c:pt idx="13">
                  <c:v>122487.57</c:v>
                </c:pt>
                <c:pt idx="14">
                  <c:v>102132.14</c:v>
                </c:pt>
                <c:pt idx="15">
                  <c:v>80058.63</c:v>
                </c:pt>
                <c:pt idx="16">
                  <c:v>56122.01</c:v>
                </c:pt>
                <c:pt idx="17">
                  <c:v>30165.06</c:v>
                </c:pt>
                <c:pt idx="18">
                  <c:v>2017.24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strRef>
              <c:f>Dashboard!$B$34</c:f>
              <c:strCache>
                <c:ptCount val="1"/>
                <c:pt idx="0">
                  <c:v>Without Extra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Dashboard!$C$32:$Z$32</c:f>
              <c:strCache>
                <c:ptCount val="24"/>
                <c:pt idx="0">
                  <c:v>Yr 1</c:v>
                </c:pt>
                <c:pt idx="1">
                  <c:v>Yr 2</c:v>
                </c:pt>
                <c:pt idx="2">
                  <c:v>Yr 3</c:v>
                </c:pt>
                <c:pt idx="3">
                  <c:v>Yr 4</c:v>
                </c:pt>
                <c:pt idx="4">
                  <c:v>Yr 6</c:v>
                </c:pt>
                <c:pt idx="5">
                  <c:v>Yr 7</c:v>
                </c:pt>
                <c:pt idx="6">
                  <c:v>Yr 8</c:v>
                </c:pt>
                <c:pt idx="7">
                  <c:v>Yr 9</c:v>
                </c:pt>
                <c:pt idx="8">
                  <c:v>Yr 11</c:v>
                </c:pt>
                <c:pt idx="9">
                  <c:v>Yr 12</c:v>
                </c:pt>
                <c:pt idx="10">
                  <c:v>Yr 13</c:v>
                </c:pt>
                <c:pt idx="11">
                  <c:v>Yr 14</c:v>
                </c:pt>
                <c:pt idx="12">
                  <c:v>Yr 16</c:v>
                </c:pt>
                <c:pt idx="13">
                  <c:v>Yr 17</c:v>
                </c:pt>
                <c:pt idx="14">
                  <c:v>Yr 18</c:v>
                </c:pt>
                <c:pt idx="15">
                  <c:v>Yr 19</c:v>
                </c:pt>
                <c:pt idx="16">
                  <c:v>Yr 21</c:v>
                </c:pt>
                <c:pt idx="17">
                  <c:v>Yr 22</c:v>
                </c:pt>
                <c:pt idx="18">
                  <c:v>Yr 23</c:v>
                </c:pt>
                <c:pt idx="19">
                  <c:v>Yr 24</c:v>
                </c:pt>
                <c:pt idx="20">
                  <c:v>Yr 26</c:v>
                </c:pt>
                <c:pt idx="21">
                  <c:v>Yr 27</c:v>
                </c:pt>
                <c:pt idx="22">
                  <c:v>Yr 28</c:v>
                </c:pt>
                <c:pt idx="23">
                  <c:v>Yr 29</c:v>
                </c:pt>
              </c:strCache>
            </c:strRef>
          </c:cat>
          <c:val>
            <c:numRef>
              <c:f>Dashboard!$C$34:$Z$34</c:f>
              <c:numCache>
                <c:formatCode>$#,##0</c:formatCode>
                <c:ptCount val="24"/>
                <c:pt idx="0">
                  <c:v>279746.88</c:v>
                </c:pt>
                <c:pt idx="1">
                  <c:v>275781.28</c:v>
                </c:pt>
                <c:pt idx="2">
                  <c:v>271480.97</c:v>
                </c:pt>
                <c:pt idx="3">
                  <c:v>266817.67</c:v>
                </c:pt>
                <c:pt idx="4">
                  <c:v>261760.77</c:v>
                </c:pt>
                <c:pt idx="5">
                  <c:v>256277.06</c:v>
                </c:pt>
                <c:pt idx="6">
                  <c:v>250330.49</c:v>
                </c:pt>
                <c:pt idx="7">
                  <c:v>243882.03</c:v>
                </c:pt>
                <c:pt idx="8">
                  <c:v>236889.27</c:v>
                </c:pt>
                <c:pt idx="9">
                  <c:v>229306.31</c:v>
                </c:pt>
                <c:pt idx="10">
                  <c:v>221083.3</c:v>
                </c:pt>
                <c:pt idx="11">
                  <c:v>212166.21</c:v>
                </c:pt>
                <c:pt idx="12">
                  <c:v>202496.49</c:v>
                </c:pt>
                <c:pt idx="13">
                  <c:v>192010.63</c:v>
                </c:pt>
                <c:pt idx="14">
                  <c:v>180639.71</c:v>
                </c:pt>
                <c:pt idx="15">
                  <c:v>168309.06</c:v>
                </c:pt>
                <c:pt idx="16">
                  <c:v>154937.6</c:v>
                </c:pt>
                <c:pt idx="17">
                  <c:v>140437.56</c:v>
                </c:pt>
                <c:pt idx="18">
                  <c:v>124713.64</c:v>
                </c:pt>
                <c:pt idx="19">
                  <c:v>107662.56</c:v>
                </c:pt>
                <c:pt idx="20">
                  <c:v>89172.28</c:v>
                </c:pt>
                <c:pt idx="21">
                  <c:v>69121.39</c:v>
                </c:pt>
                <c:pt idx="22">
                  <c:v>47378.1</c:v>
                </c:pt>
                <c:pt idx="23">
                  <c:v>23799.57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Z34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'Mortgage Setup'!B12</f>
        <v>1769.79</v>
      </c>
      <c r="C5" s="5"/>
      <c r="E5" s="6">
        <f>'Mortgage Setup'!B9</f>
        <v>200</v>
      </c>
      <c r="F5" s="6"/>
      <c r="H5" s="7">
        <f>'Mortgage Setup'!B14</f>
        <v>255841.58</v>
      </c>
      <c r="I5" s="7"/>
    </row>
    <row r="6" ht="20" customHeight="1" spans="2:9" x14ac:dyDescent="0.25">
      <c r="B6" s="8" t="s">
        <v>6</v>
      </c>
      <c r="C6" s="8"/>
      <c r="E6" s="8" t="s">
        <v>7</v>
      </c>
      <c r="F6" s="8"/>
      <c r="H6" s="8" t="s">
        <v>8</v>
      </c>
      <c r="I6" s="8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9">
        <f>'Mortgage Setup'!B21</f>
        <v>54302</v>
      </c>
      <c r="C9" s="9"/>
      <c r="E9" s="10" t="str">
        <f>IF('Mortgage Setup'!B20&lt;=0,"0 months",IF(INT('Mortgage Setup'!B20/12)&gt;0,INT('Mortgage Setup'!B20/12)&amp;" yrs "&amp;MOD('Mortgage Setup'!B20,12)&amp;" mos",'Mortgage Setup'!B20&amp;" months"))</f>
        <v>7 yrs 3 mos</v>
      </c>
      <c r="F9" s="10"/>
      <c r="H9" s="11">
        <f>'Mortgage Setup'!B16</f>
        <v>101283.54</v>
      </c>
      <c r="I9" s="11"/>
    </row>
    <row r="10" ht="20" customHeight="1" spans="2:9" x14ac:dyDescent="0.25">
      <c r="B10" s="8" t="s">
        <v>8</v>
      </c>
      <c r="C10" s="8"/>
      <c r="E10" s="8" t="s">
        <v>12</v>
      </c>
      <c r="F10" s="8"/>
      <c r="H10" s="8" t="s">
        <v>13</v>
      </c>
      <c r="I10" s="8"/>
    </row>
    <row r="11" ht="14" customHeight="1" x14ac:dyDescent="0.25"/>
    <row r="12" ht="28" customHeight="1" spans="2:9" x14ac:dyDescent="0.25">
      <c r="B12" s="12" t="s">
        <v>14</v>
      </c>
      <c r="C12" s="13"/>
      <c r="D12" s="13"/>
      <c r="E12" s="13"/>
      <c r="F12" s="13"/>
      <c r="G12" s="13"/>
      <c r="H12" s="13"/>
      <c r="I12" s="13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6" customHeight="1" x14ac:dyDescent="0.25"/>
    <row r="30" ht="20" customHeight="1" spans="1:9" x14ac:dyDescent="0.25">
      <c r="A30" s="14" t="s">
        <v>15</v>
      </c>
      <c r="B30" s="14"/>
      <c r="C30" s="14"/>
      <c r="D30" s="14"/>
      <c r="E30" s="14"/>
      <c r="F30" s="14"/>
      <c r="G30" s="14"/>
      <c r="H30" s="14"/>
      <c r="I30" s="14"/>
    </row>
    <row r="31" ht="20" customHeight="1" spans="1:9" x14ac:dyDescent="0.25">
      <c r="A31" s="15" t="s">
        <v>16</v>
      </c>
      <c r="B31" s="15"/>
      <c r="C31" s="15"/>
      <c r="D31" s="15"/>
      <c r="E31" s="15"/>
      <c r="F31" s="15"/>
      <c r="G31" s="15"/>
      <c r="H31" s="15"/>
      <c r="I31" s="15"/>
    </row>
    <row r="32" ht="1" customHeight="1" spans="2:26" x14ac:dyDescent="0.25">
      <c r="B32" s="16" t="s">
        <v>17</v>
      </c>
      <c r="C32" s="16" t="s">
        <v>18</v>
      </c>
      <c r="D32" s="16" t="s">
        <v>19</v>
      </c>
      <c r="E32" s="16" t="s">
        <v>20</v>
      </c>
      <c r="F32" s="16" t="s">
        <v>21</v>
      </c>
      <c r="G32" s="16" t="s">
        <v>22</v>
      </c>
      <c r="H32" s="16" t="s">
        <v>23</v>
      </c>
      <c r="I32" s="16" t="s">
        <v>24</v>
      </c>
      <c r="J32" s="16" t="s">
        <v>25</v>
      </c>
      <c r="K32" s="16" t="s">
        <v>26</v>
      </c>
      <c r="L32" s="16" t="s">
        <v>27</v>
      </c>
      <c r="M32" s="16" t="s">
        <v>28</v>
      </c>
      <c r="N32" s="16" t="s">
        <v>29</v>
      </c>
      <c r="O32" s="16" t="s">
        <v>30</v>
      </c>
      <c r="P32" s="16" t="s">
        <v>31</v>
      </c>
      <c r="Q32" s="16" t="s">
        <v>32</v>
      </c>
      <c r="R32" s="16" t="s">
        <v>33</v>
      </c>
      <c r="S32" s="16" t="s">
        <v>34</v>
      </c>
      <c r="T32" s="16" t="s">
        <v>35</v>
      </c>
      <c r="U32" s="16" t="s">
        <v>36</v>
      </c>
      <c r="V32" s="16" t="s">
        <v>37</v>
      </c>
      <c r="W32" s="16" t="s">
        <v>38</v>
      </c>
      <c r="X32" s="16" t="s">
        <v>39</v>
      </c>
      <c r="Y32" s="16" t="s">
        <v>40</v>
      </c>
      <c r="Z32" s="16" t="s">
        <v>41</v>
      </c>
    </row>
    <row r="33" ht="1" customHeight="1" spans="2:26" x14ac:dyDescent="0.25">
      <c r="B33" s="16" t="s">
        <v>42</v>
      </c>
      <c r="C33" s="16">
        <f>IFERROR('Amortization Schedule'!H5,0)</f>
        <v>279546.88</v>
      </c>
      <c r="D33" s="16">
        <f>IFERROR('Amortization Schedule'!H20,0)</f>
        <v>272447.9</v>
      </c>
      <c r="E33" s="16">
        <f>IFERROR('Amortization Schedule'!H35,0)</f>
        <v>264749.75</v>
      </c>
      <c r="F33" s="16">
        <f>IFERROR('Amortization Schedule'!H50,0)</f>
        <v>256401.83</v>
      </c>
      <c r="G33" s="16">
        <f>IFERROR('Amortization Schedule'!H65,0)</f>
        <v>247349.33</v>
      </c>
      <c r="H33" s="16">
        <f>IFERROR('Amortization Schedule'!H80,0)</f>
        <v>237532.79</v>
      </c>
      <c r="I33" s="16">
        <f>IFERROR('Amortization Schedule'!H95,0)</f>
        <v>226887.68</v>
      </c>
      <c r="J33" s="16">
        <f>IFERROR('Amortization Schedule'!H110,0)</f>
        <v>215344.07</v>
      </c>
      <c r="K33" s="16">
        <f>IFERROR('Amortization Schedule'!H125,0)</f>
        <v>202826.12</v>
      </c>
      <c r="L33" s="16">
        <f>IFERROR('Amortization Schedule'!H140,0)</f>
        <v>189251.6</v>
      </c>
      <c r="M33" s="16">
        <f>IFERROR('Amortization Schedule'!H155,0)</f>
        <v>174531.36</v>
      </c>
      <c r="N33" s="16">
        <f>IFERROR('Amortization Schedule'!H170,0)</f>
        <v>158568.65</v>
      </c>
      <c r="O33" s="16">
        <f>IFERROR('Amortization Schedule'!H185,0)</f>
        <v>141258.62</v>
      </c>
      <c r="P33" s="16">
        <f>IFERROR('Amortization Schedule'!H200,0)</f>
        <v>122487.57</v>
      </c>
      <c r="Q33" s="16">
        <f>IFERROR('Amortization Schedule'!H215,0)</f>
        <v>102132.14</v>
      </c>
      <c r="R33" s="16">
        <f>IFERROR('Amortization Schedule'!H230,0)</f>
        <v>80058.63</v>
      </c>
      <c r="S33" s="16">
        <f>IFERROR('Amortization Schedule'!H245,0)</f>
        <v>56122.01</v>
      </c>
      <c r="T33" s="16">
        <f>IFERROR('Amortization Schedule'!H260,0)</f>
        <v>30165.06</v>
      </c>
      <c r="U33" s="16">
        <f>IFERROR('Amortization Schedule'!H275,0)</f>
        <v>2017.24</v>
      </c>
      <c r="V33" s="16">
        <f>IFERROR('Amortization Schedule'!H290,0)</f>
        <v>0.0001</v>
      </c>
      <c r="W33" s="16">
        <f>IFERROR('Amortization Schedule'!H305,0)</f>
        <v>0.0001</v>
      </c>
      <c r="X33" s="16">
        <f>IFERROR('Amortization Schedule'!H320,0)</f>
        <v>0.0001</v>
      </c>
      <c r="Y33" s="16">
        <f>IFERROR('Amortization Schedule'!H335,0)</f>
        <v>0.0001</v>
      </c>
      <c r="Z33" s="16">
        <f>IFERROR('Amortization Schedule'!H350,0)</f>
        <v>0.0001</v>
      </c>
    </row>
    <row r="34" ht="1" customHeight="1" spans="2:26" x14ac:dyDescent="0.25">
      <c r="B34" s="16" t="s">
        <v>43</v>
      </c>
      <c r="C34" s="16">
        <v>279746.88</v>
      </c>
      <c r="D34" s="16">
        <v>275781.28</v>
      </c>
      <c r="E34" s="16">
        <v>271480.97</v>
      </c>
      <c r="F34" s="16">
        <v>266817.67</v>
      </c>
      <c r="G34" s="16">
        <v>261760.77</v>
      </c>
      <c r="H34" s="16">
        <v>256277.06</v>
      </c>
      <c r="I34" s="16">
        <v>250330.49</v>
      </c>
      <c r="J34" s="16">
        <v>243882.03</v>
      </c>
      <c r="K34" s="16">
        <v>236889.27</v>
      </c>
      <c r="L34" s="16">
        <v>229306.31</v>
      </c>
      <c r="M34" s="16">
        <v>221083.3</v>
      </c>
      <c r="N34" s="16">
        <v>212166.21</v>
      </c>
      <c r="O34" s="16">
        <v>202496.49</v>
      </c>
      <c r="P34" s="16">
        <v>192010.63</v>
      </c>
      <c r="Q34" s="16">
        <v>180639.71</v>
      </c>
      <c r="R34" s="16">
        <v>168309.06</v>
      </c>
      <c r="S34" s="16">
        <v>154937.6</v>
      </c>
      <c r="T34" s="16">
        <v>140437.56</v>
      </c>
      <c r="U34" s="16">
        <v>124713.64</v>
      </c>
      <c r="V34" s="16">
        <v>107662.56</v>
      </c>
      <c r="W34" s="16">
        <v>89172.28</v>
      </c>
      <c r="X34" s="16">
        <v>69121.39</v>
      </c>
      <c r="Y34" s="16">
        <v>47378.1</v>
      </c>
      <c r="Z34" s="16">
        <v>23799.57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30:I30"/>
    <mergeCell ref="A31:I31"/>
  </mergeCells>
  <hyperlinks>
    <hyperlink ref="G2" r:id="rId1"/>
    <hyperlink ref="A31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C26"/>
  <sheetViews>
    <sheetView workbookViewId="0" showGridLines="0" zoomScale="125"/>
  </sheetViews>
  <sheetFormatPr defaultRowHeight="15" outlineLevelRow="0" outlineLevelCol="0" x14ac:dyDescent="55"/>
  <cols>
    <col min="1" max="1" width="30" customWidth="1"/>
    <col min="2" max="2" width="20" customWidth="1"/>
    <col min="3" max="3" width="32" customWidth="1"/>
  </cols>
  <sheetData>
    <row r="1" ht="48" customHeight="1" spans="1:3" x14ac:dyDescent="0.25">
      <c r="A1" s="17" t="s">
        <v>44</v>
      </c>
      <c r="B1" s="17"/>
      <c r="C1" s="17"/>
    </row>
    <row r="2" ht="24" customHeight="1" spans="1:3" x14ac:dyDescent="0.25">
      <c r="A2" s="18" t="s">
        <v>45</v>
      </c>
      <c r="B2" s="18"/>
      <c r="C2" s="18"/>
    </row>
    <row r="3" ht="14" customHeight="1" x14ac:dyDescent="0.25"/>
    <row r="4" ht="28" customHeight="1" spans="1:3" x14ac:dyDescent="0.25">
      <c r="A4" s="12" t="s">
        <v>46</v>
      </c>
      <c r="B4" s="13"/>
      <c r="C4" s="13"/>
    </row>
    <row r="5" ht="26" customHeight="1" spans="1:3" x14ac:dyDescent="0.25">
      <c r="A5" s="19" t="s">
        <v>47</v>
      </c>
      <c r="B5" s="20">
        <v>280000</v>
      </c>
      <c r="C5" s="18" t="s">
        <v>48</v>
      </c>
    </row>
    <row r="6" ht="26" customHeight="1" spans="1:3" x14ac:dyDescent="0.25">
      <c r="A6" s="19" t="s">
        <v>49</v>
      </c>
      <c r="B6" s="21">
        <v>0.065</v>
      </c>
      <c r="C6" s="18" t="s">
        <v>50</v>
      </c>
    </row>
    <row r="7" ht="26" customHeight="1" spans="1:3" x14ac:dyDescent="0.25">
      <c r="A7" s="19" t="s">
        <v>51</v>
      </c>
      <c r="B7" s="22">
        <v>30</v>
      </c>
      <c r="C7" s="18" t="s">
        <v>52</v>
      </c>
    </row>
    <row r="8" ht="26" customHeight="1" spans="1:3" x14ac:dyDescent="0.25">
      <c r="A8" s="19" t="s">
        <v>53</v>
      </c>
      <c r="B8" s="23">
        <v>46023</v>
      </c>
      <c r="C8" s="18" t="s">
        <v>54</v>
      </c>
    </row>
    <row r="9" ht="26" customHeight="1" spans="1:3" x14ac:dyDescent="0.25">
      <c r="A9" s="19" t="s">
        <v>55</v>
      </c>
      <c r="B9" s="24">
        <v>200</v>
      </c>
      <c r="C9" s="18" t="s">
        <v>56</v>
      </c>
    </row>
    <row r="10" ht="14" customHeight="1" x14ac:dyDescent="0.25"/>
    <row r="11" ht="28" customHeight="1" spans="1:3" x14ac:dyDescent="0.25">
      <c r="A11" s="12" t="s">
        <v>57</v>
      </c>
      <c r="B11" s="13"/>
      <c r="C11" s="13"/>
    </row>
    <row r="12" ht="26" customHeight="1" spans="1:2" x14ac:dyDescent="0.25">
      <c r="A12" s="19" t="s">
        <v>58</v>
      </c>
      <c r="B12" s="25">
        <f>IF(B6=0,B5/(B7*12),ROUND(B5*(B6/12*(1+B6/12)^(B7*12))/((1+B6/12)^(B7*12)-1),2))</f>
        <v>1769.79</v>
      </c>
    </row>
    <row r="13" ht="26" customHeight="1" spans="1:2" x14ac:dyDescent="0.25">
      <c r="A13" s="19" t="s">
        <v>59</v>
      </c>
      <c r="B13" s="26">
        <f>IFERROR(SUM('Amortization Schedule'!C5:C364)+SUM('Amortization Schedule'!F5:F364)+SUM('Amortization Schedule'!G5:G364),0)</f>
        <v>535842</v>
      </c>
    </row>
    <row r="14" ht="26" customHeight="1" spans="1:2" x14ac:dyDescent="0.25">
      <c r="A14" s="19" t="s">
        <v>60</v>
      </c>
      <c r="B14" s="25">
        <f>IFERROR(SUM('Amortization Schedule'!F5:F364),0)</f>
        <v>255841.58</v>
      </c>
    </row>
    <row r="15" ht="26" customHeight="1" spans="1:2" x14ac:dyDescent="0.25">
      <c r="A15" s="19" t="s">
        <v>61</v>
      </c>
      <c r="B15" s="25">
        <f>ROUND(B12*B7*12-B5,2)</f>
        <v>357125.12</v>
      </c>
    </row>
    <row r="16" ht="24" customHeight="1" spans="1:2" x14ac:dyDescent="0.25">
      <c r="A16" s="19" t="s">
        <v>62</v>
      </c>
      <c r="B16" s="27">
        <f>IF(B9=0,0,B15-B14)</f>
        <v>101283.54</v>
      </c>
    </row>
    <row r="17" ht="14" customHeight="1" x14ac:dyDescent="0.25"/>
    <row r="18" ht="28" customHeight="1" spans="1:3" x14ac:dyDescent="0.25">
      <c r="A18" s="12" t="s">
        <v>63</v>
      </c>
      <c r="B18" s="13"/>
      <c r="C18" s="13"/>
    </row>
    <row r="19" ht="26" customHeight="1" spans="1:2" x14ac:dyDescent="0.25">
      <c r="A19" s="19" t="s">
        <v>64</v>
      </c>
      <c r="B19" s="28">
        <f>IFERROR(COUNTIF('Amortization Schedule'!H5:H364,"&gt;0")+1,B7*12)</f>
        <v>273</v>
      </c>
    </row>
    <row r="20" ht="26" customHeight="1" spans="1:2" x14ac:dyDescent="0.25">
      <c r="A20" s="19" t="s">
        <v>65</v>
      </c>
      <c r="B20" s="28">
        <f>B7*12</f>
        <v>360</v>
      </c>
    </row>
    <row r="21" ht="26" customHeight="1" spans="1:2" x14ac:dyDescent="0.25">
      <c r="A21" s="19" t="s">
        <v>66</v>
      </c>
      <c r="B21" s="28">
        <f>IF(B9=0,0,B19-B18)</f>
        <v>87</v>
      </c>
    </row>
    <row r="22" ht="26" customHeight="1" spans="1:2" x14ac:dyDescent="0.25">
      <c r="A22" s="19" t="s">
        <v>67</v>
      </c>
      <c r="B22" s="29">
        <f>IFERROR(DATE(YEAR(B8),MONTH(B8)+B18-1,1),B8)</f>
        <v>54302</v>
      </c>
    </row>
    <row r="23" ht="14" customHeight="1" x14ac:dyDescent="0.25"/>
    <row r="24" ht="6" customHeight="1" x14ac:dyDescent="0.25"/>
    <row r="25" ht="20" customHeight="1" spans="1:3" x14ac:dyDescent="0.25">
      <c r="A25" s="14" t="s">
        <v>15</v>
      </c>
      <c r="B25" s="14"/>
      <c r="C25" s="14"/>
    </row>
    <row r="26" ht="20" customHeight="1" spans="1:3" x14ac:dyDescent="0.25">
      <c r="A26" s="15" t="s">
        <v>16</v>
      </c>
      <c r="B26" s="15"/>
      <c r="C26" s="15"/>
    </row>
  </sheetData>
  <sheetProtection sheet="1"/>
  <mergeCells count="4">
    <mergeCell ref="A1:C1"/>
    <mergeCell ref="A2:C2"/>
    <mergeCell ref="A25:C25"/>
    <mergeCell ref="A26:C26"/>
  </mergeCells>
  <hyperlinks>
    <hyperlink ref="A26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I368"/>
  <sheetViews>
    <sheetView workbookViewId="0" showGridLines="0" zoomScale="10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2" customWidth="1"/>
    <col min="3" max="7" width="14" customWidth="1"/>
    <col min="8" max="9" width="16" customWidth="1"/>
  </cols>
  <sheetData>
    <row r="1" ht="48" customHeight="1" spans="1:9" x14ac:dyDescent="0.25">
      <c r="A1" s="17" t="s">
        <v>68</v>
      </c>
      <c r="B1" s="17"/>
      <c r="C1" s="17"/>
      <c r="D1" s="17"/>
      <c r="E1" s="17"/>
      <c r="F1" s="17"/>
      <c r="G1" s="17"/>
      <c r="H1" s="17"/>
      <c r="I1" s="17"/>
    </row>
    <row r="2" ht="24" customHeight="1" spans="1:9" x14ac:dyDescent="0.25">
      <c r="A2" s="18" t="s">
        <v>69</v>
      </c>
      <c r="B2" s="18"/>
      <c r="C2" s="18"/>
      <c r="D2" s="18"/>
      <c r="E2" s="18"/>
      <c r="F2" s="18"/>
      <c r="G2" s="18"/>
      <c r="H2" s="18"/>
      <c r="I2" s="18"/>
    </row>
    <row r="3" ht="14" customHeight="1" x14ac:dyDescent="0.25"/>
    <row r="4" ht="32" customHeight="1" spans="1:9" x14ac:dyDescent="0.25">
      <c r="A4" s="30" t="s">
        <v>70</v>
      </c>
      <c r="B4" s="31" t="s">
        <v>71</v>
      </c>
      <c r="C4" s="31" t="s">
        <v>72</v>
      </c>
      <c r="D4" s="31" t="s">
        <v>73</v>
      </c>
      <c r="E4" s="31" t="s">
        <v>74</v>
      </c>
      <c r="F4" s="31" t="s">
        <v>75</v>
      </c>
      <c r="G4" s="31" t="s">
        <v>76</v>
      </c>
      <c r="H4" s="31" t="s">
        <v>77</v>
      </c>
      <c r="I4" s="31" t="s">
        <v>78</v>
      </c>
    </row>
    <row r="5" ht="26" customHeight="1" spans="1:9" x14ac:dyDescent="0.25">
      <c r="A5" s="32">
        <f>IF('Mortgage Setup'!B5&gt;0,1,"")</f>
        <v>1</v>
      </c>
      <c r="B5" s="33">
        <f>IF(A5="","",'Mortgage Setup'!B8)</f>
        <v>46023</v>
      </c>
      <c r="C5" s="34">
        <f>IF(A5="",0,IF('Mortgage Setup'!B5&lt;=0,0,MIN('Mortgage Setup'!B12,'Mortgage Setup'!B5*(1+'Mortgage Setup'!B6/12))))</f>
        <v>1769.79</v>
      </c>
      <c r="D5" s="34">
        <f>IF(A5="",0,IF('Mortgage Setup'!B5&lt;=0,0,MIN(C5-E5,'Mortgage Setup'!B5)))</f>
        <v>253.12</v>
      </c>
      <c r="E5" s="34">
        <f>IF(A5="",0,IF('Mortgage Setup'!B5&lt;=0,0,ROUND('Mortgage Setup'!B5*('Mortgage Setup'!B6/12),2)))</f>
        <v>1516.67</v>
      </c>
      <c r="F5" s="34">
        <f>IF(A5="",0,IF('Mortgage Setup'!B5&lt;=0,0,MIN('Mortgage Setup'!B9,MAX('Mortgage Setup'!B5-D5,0))))</f>
        <v>200</v>
      </c>
      <c r="G5" s="34">
        <f>IF(A5="",0,C5+F5)</f>
        <v>1969.79</v>
      </c>
      <c r="H5" s="34">
        <f>IF(A5="",0,MAX('Mortgage Setup'!B5-D5-F5,0))</f>
        <v>279546.88</v>
      </c>
      <c r="I5" s="34">
        <f>IF(A5="",0,E5)</f>
        <v>1516.67</v>
      </c>
    </row>
    <row r="6" ht="26" customHeight="1" spans="1:9" x14ac:dyDescent="0.25">
      <c r="A6" s="35">
        <f>IF(H5&gt;0,2,"")</f>
        <v>2</v>
      </c>
      <c r="B6" s="36">
        <f>IF(A6="","",DATE(YEAR('Mortgage Setup'!B8),MONTH('Mortgage Setup'!B8)+1,DAY('Mortgage Setup'!B8)))</f>
        <v>46054</v>
      </c>
      <c r="C6" s="37">
        <f>IF(A6="",0,IF(H5&lt;=0,0,MIN('Mortgage Setup'!B12,H5*(1+'Mortgage Setup'!B6/12))))</f>
        <v>1769.79</v>
      </c>
      <c r="D6" s="37">
        <f>IF(A6="",0,IF(H5&lt;=0,0,MIN(C6-E6,H5)))</f>
        <v>255.58</v>
      </c>
      <c r="E6" s="37">
        <f>IF(A6="",0,IF(H5&lt;=0,0,ROUND(H5*('Mortgage Setup'!B6/12),2)))</f>
        <v>1514.21</v>
      </c>
      <c r="F6" s="37">
        <f>IF(A6="",0,IF(H5&lt;=0,0,MIN('Mortgage Setup'!B9,MAX(H5-D6,0))))</f>
        <v>200</v>
      </c>
      <c r="G6" s="37">
        <f>IF(A6="",0,C6+F6)</f>
        <v>1969.79</v>
      </c>
      <c r="H6" s="37">
        <f>IF(A6="",0,MAX(H5-D6-F6,0))</f>
        <v>279091.3</v>
      </c>
      <c r="I6" s="37">
        <f>IF(A6="",0,I5+E6)</f>
        <v>3030.88</v>
      </c>
    </row>
    <row r="7" ht="26" customHeight="1" spans="1:9" x14ac:dyDescent="0.25">
      <c r="A7" s="32">
        <f>IF(H6&gt;0,3,"")</f>
        <v>3</v>
      </c>
      <c r="B7" s="33">
        <f>IF(A7="","",DATE(YEAR('Mortgage Setup'!B8),MONTH('Mortgage Setup'!B8)+2,DAY('Mortgage Setup'!B8)))</f>
        <v>46082</v>
      </c>
      <c r="C7" s="34">
        <f>IF(A7="",0,IF(H6&lt;=0,0,MIN('Mortgage Setup'!B12,H6*(1+'Mortgage Setup'!B6/12))))</f>
        <v>1769.79</v>
      </c>
      <c r="D7" s="34">
        <f>IF(A7="",0,IF(H6&lt;=0,0,MIN(C7-E7,H6)))</f>
        <v>258.05</v>
      </c>
      <c r="E7" s="34">
        <f>IF(A7="",0,IF(H6&lt;=0,0,ROUND(H6*('Mortgage Setup'!B6/12),2)))</f>
        <v>1511.74</v>
      </c>
      <c r="F7" s="34">
        <f>IF(A7="",0,IF(H6&lt;=0,0,MIN('Mortgage Setup'!B9,MAX(H6-D7,0))))</f>
        <v>200</v>
      </c>
      <c r="G7" s="34">
        <f>IF(A7="",0,C7+F7)</f>
        <v>1969.79</v>
      </c>
      <c r="H7" s="34">
        <f>IF(A7="",0,MAX(H6-D7-F7,0))</f>
        <v>278633.25</v>
      </c>
      <c r="I7" s="34">
        <f>IF(A7="",0,I6+E7)</f>
        <v>4542.62</v>
      </c>
    </row>
    <row r="8" ht="26" customHeight="1" spans="1:9" x14ac:dyDescent="0.25">
      <c r="A8" s="35">
        <f>IF(H7&gt;0,4,"")</f>
        <v>4</v>
      </c>
      <c r="B8" s="36">
        <f>IF(A8="","",DATE(YEAR('Mortgage Setup'!B8),MONTH('Mortgage Setup'!B8)+3,DAY('Mortgage Setup'!B8)))</f>
        <v>46113</v>
      </c>
      <c r="C8" s="37">
        <f>IF(A8="",0,IF(H7&lt;=0,0,MIN('Mortgage Setup'!B12,H7*(1+'Mortgage Setup'!B6/12))))</f>
        <v>1769.79</v>
      </c>
      <c r="D8" s="37">
        <f>IF(A8="",0,IF(H7&lt;=0,0,MIN(C8-E8,H7)))</f>
        <v>260.53</v>
      </c>
      <c r="E8" s="37">
        <f>IF(A8="",0,IF(H7&lt;=0,0,ROUND(H7*('Mortgage Setup'!B6/12),2)))</f>
        <v>1509.26</v>
      </c>
      <c r="F8" s="37">
        <f>IF(A8="",0,IF(H7&lt;=0,0,MIN('Mortgage Setup'!B9,MAX(H7-D8,0))))</f>
        <v>200</v>
      </c>
      <c r="G8" s="37">
        <f>IF(A8="",0,C8+F8)</f>
        <v>1969.79</v>
      </c>
      <c r="H8" s="37">
        <f>IF(A8="",0,MAX(H7-D8-F8,0))</f>
        <v>278172.72</v>
      </c>
      <c r="I8" s="37">
        <f>IF(A8="",0,I7+E8)</f>
        <v>6051.88</v>
      </c>
    </row>
    <row r="9" ht="26" customHeight="1" spans="1:9" x14ac:dyDescent="0.25">
      <c r="A9" s="32">
        <f>IF(H8&gt;0,5,"")</f>
        <v>5</v>
      </c>
      <c r="B9" s="33">
        <f>IF(A9="","",DATE(YEAR('Mortgage Setup'!B8),MONTH('Mortgage Setup'!B8)+4,DAY('Mortgage Setup'!B8)))</f>
        <v>46143</v>
      </c>
      <c r="C9" s="34">
        <f>IF(A9="",0,IF(H8&lt;=0,0,MIN('Mortgage Setup'!B12,H8*(1+'Mortgage Setup'!B6/12))))</f>
        <v>1769.79</v>
      </c>
      <c r="D9" s="34">
        <f>IF(A9="",0,IF(H8&lt;=0,0,MIN(C9-E9,H8)))</f>
        <v>263.02</v>
      </c>
      <c r="E9" s="34">
        <f>IF(A9="",0,IF(H8&lt;=0,0,ROUND(H8*('Mortgage Setup'!B6/12),2)))</f>
        <v>1506.77</v>
      </c>
      <c r="F9" s="34">
        <f>IF(A9="",0,IF(H8&lt;=0,0,MIN('Mortgage Setup'!B9,MAX(H8-D9,0))))</f>
        <v>200</v>
      </c>
      <c r="G9" s="34">
        <f>IF(A9="",0,C9+F9)</f>
        <v>1969.79</v>
      </c>
      <c r="H9" s="34">
        <f>IF(A9="",0,MAX(H8-D9-F9,0))</f>
        <v>277709.7</v>
      </c>
      <c r="I9" s="34">
        <f>IF(A9="",0,I8+E9)</f>
        <v>7558.65</v>
      </c>
    </row>
    <row r="10" ht="26" customHeight="1" spans="1:9" x14ac:dyDescent="0.25">
      <c r="A10" s="35">
        <f>IF(H9&gt;0,6,"")</f>
        <v>6</v>
      </c>
      <c r="B10" s="36">
        <f>IF(A10="","",DATE(YEAR('Mortgage Setup'!B8),MONTH('Mortgage Setup'!B8)+5,DAY('Mortgage Setup'!B8)))</f>
        <v>46174</v>
      </c>
      <c r="C10" s="37">
        <f>IF(A10="",0,IF(H9&lt;=0,0,MIN('Mortgage Setup'!B12,H9*(1+'Mortgage Setup'!B6/12))))</f>
        <v>1769.79</v>
      </c>
      <c r="D10" s="37">
        <f>IF(A10="",0,IF(H9&lt;=0,0,MIN(C10-E10,H9)))</f>
        <v>265.53</v>
      </c>
      <c r="E10" s="37">
        <f>IF(A10="",0,IF(H9&lt;=0,0,ROUND(H9*('Mortgage Setup'!B6/12),2)))</f>
        <v>1504.26</v>
      </c>
      <c r="F10" s="37">
        <f>IF(A10="",0,IF(H9&lt;=0,0,MIN('Mortgage Setup'!B9,MAX(H9-D10,0))))</f>
        <v>200</v>
      </c>
      <c r="G10" s="37">
        <f>IF(A10="",0,C10+F10)</f>
        <v>1969.79</v>
      </c>
      <c r="H10" s="37">
        <f>IF(A10="",0,MAX(H9-D10-F10,0))</f>
        <v>277244.17</v>
      </c>
      <c r="I10" s="37">
        <f>IF(A10="",0,I9+E10)</f>
        <v>9062.91</v>
      </c>
    </row>
    <row r="11" ht="26" customHeight="1" spans="1:9" x14ac:dyDescent="0.25">
      <c r="A11" s="32">
        <f>IF(H10&gt;0,7,"")</f>
        <v>7</v>
      </c>
      <c r="B11" s="33">
        <f>IF(A11="","",DATE(YEAR('Mortgage Setup'!B8),MONTH('Mortgage Setup'!B8)+6,DAY('Mortgage Setup'!B8)))</f>
        <v>46204</v>
      </c>
      <c r="C11" s="34">
        <f>IF(A11="",0,IF(H10&lt;=0,0,MIN('Mortgage Setup'!B12,H10*(1+'Mortgage Setup'!B6/12))))</f>
        <v>1769.79</v>
      </c>
      <c r="D11" s="34">
        <f>IF(A11="",0,IF(H10&lt;=0,0,MIN(C11-E11,H10)))</f>
        <v>268.05</v>
      </c>
      <c r="E11" s="34">
        <f>IF(A11="",0,IF(H10&lt;=0,0,ROUND(H10*('Mortgage Setup'!B6/12),2)))</f>
        <v>1501.74</v>
      </c>
      <c r="F11" s="34">
        <f>IF(A11="",0,IF(H10&lt;=0,0,MIN('Mortgage Setup'!B9,MAX(H10-D11,0))))</f>
        <v>200</v>
      </c>
      <c r="G11" s="34">
        <f>IF(A11="",0,C11+F11)</f>
        <v>1969.79</v>
      </c>
      <c r="H11" s="34">
        <f>IF(A11="",0,MAX(H10-D11-F11,0))</f>
        <v>276776.12</v>
      </c>
      <c r="I11" s="34">
        <f>IF(A11="",0,I10+E11)</f>
        <v>10564.65</v>
      </c>
    </row>
    <row r="12" ht="26" customHeight="1" spans="1:9" x14ac:dyDescent="0.25">
      <c r="A12" s="35">
        <f>IF(H11&gt;0,8,"")</f>
        <v>8</v>
      </c>
      <c r="B12" s="36">
        <f>IF(A12="","",DATE(YEAR('Mortgage Setup'!B8),MONTH('Mortgage Setup'!B8)+7,DAY('Mortgage Setup'!B8)))</f>
        <v>46235</v>
      </c>
      <c r="C12" s="37">
        <f>IF(A12="",0,IF(H11&lt;=0,0,MIN('Mortgage Setup'!B12,H11*(1+'Mortgage Setup'!B6/12))))</f>
        <v>1769.79</v>
      </c>
      <c r="D12" s="37">
        <f>IF(A12="",0,IF(H11&lt;=0,0,MIN(C12-E12,H11)))</f>
        <v>270.59</v>
      </c>
      <c r="E12" s="37">
        <f>IF(A12="",0,IF(H11&lt;=0,0,ROUND(H11*('Mortgage Setup'!B6/12),2)))</f>
        <v>1499.2</v>
      </c>
      <c r="F12" s="37">
        <f>IF(A12="",0,IF(H11&lt;=0,0,MIN('Mortgage Setup'!B9,MAX(H11-D12,0))))</f>
        <v>200</v>
      </c>
      <c r="G12" s="37">
        <f>IF(A12="",0,C12+F12)</f>
        <v>1969.79</v>
      </c>
      <c r="H12" s="37">
        <f>IF(A12="",0,MAX(H11-D12-F12,0))</f>
        <v>276305.53</v>
      </c>
      <c r="I12" s="37">
        <f>IF(A12="",0,I11+E12)</f>
        <v>12063.85</v>
      </c>
    </row>
    <row r="13" ht="26" customHeight="1" spans="1:9" x14ac:dyDescent="0.25">
      <c r="A13" s="32">
        <f>IF(H12&gt;0,9,"")</f>
        <v>9</v>
      </c>
      <c r="B13" s="33">
        <f>IF(A13="","",DATE(YEAR('Mortgage Setup'!B8),MONTH('Mortgage Setup'!B8)+8,DAY('Mortgage Setup'!B8)))</f>
        <v>46266</v>
      </c>
      <c r="C13" s="34">
        <f>IF(A13="",0,IF(H12&lt;=0,0,MIN('Mortgage Setup'!B12,H12*(1+'Mortgage Setup'!B6/12))))</f>
        <v>1769.79</v>
      </c>
      <c r="D13" s="34">
        <f>IF(A13="",0,IF(H12&lt;=0,0,MIN(C13-E13,H12)))</f>
        <v>273.14</v>
      </c>
      <c r="E13" s="34">
        <f>IF(A13="",0,IF(H12&lt;=0,0,ROUND(H12*('Mortgage Setup'!B6/12),2)))</f>
        <v>1496.65</v>
      </c>
      <c r="F13" s="34">
        <f>IF(A13="",0,IF(H12&lt;=0,0,MIN('Mortgage Setup'!B9,MAX(H12-D13,0))))</f>
        <v>200</v>
      </c>
      <c r="G13" s="34">
        <f>IF(A13="",0,C13+F13)</f>
        <v>1969.79</v>
      </c>
      <c r="H13" s="34">
        <f>IF(A13="",0,MAX(H12-D13-F13,0))</f>
        <v>275832.39</v>
      </c>
      <c r="I13" s="34">
        <f>IF(A13="",0,I12+E13)</f>
        <v>13560.5</v>
      </c>
    </row>
    <row r="14" ht="26" customHeight="1" spans="1:9" x14ac:dyDescent="0.25">
      <c r="A14" s="35">
        <f>IF(H13&gt;0,10,"")</f>
        <v>10</v>
      </c>
      <c r="B14" s="36">
        <f>IF(A14="","",DATE(YEAR('Mortgage Setup'!B8),MONTH('Mortgage Setup'!B8)+9,DAY('Mortgage Setup'!B8)))</f>
        <v>46296</v>
      </c>
      <c r="C14" s="37">
        <f>IF(A14="",0,IF(H13&lt;=0,0,MIN('Mortgage Setup'!B12,H13*(1+'Mortgage Setup'!B6/12))))</f>
        <v>1769.79</v>
      </c>
      <c r="D14" s="37">
        <f>IF(A14="",0,IF(H13&lt;=0,0,MIN(C14-E14,H13)))</f>
        <v>275.7</v>
      </c>
      <c r="E14" s="37">
        <f>IF(A14="",0,IF(H13&lt;=0,0,ROUND(H13*('Mortgage Setup'!B6/12),2)))</f>
        <v>1494.09</v>
      </c>
      <c r="F14" s="37">
        <f>IF(A14="",0,IF(H13&lt;=0,0,MIN('Mortgage Setup'!B9,MAX(H13-D14,0))))</f>
        <v>200</v>
      </c>
      <c r="G14" s="37">
        <f>IF(A14="",0,C14+F14)</f>
        <v>1969.79</v>
      </c>
      <c r="H14" s="37">
        <f>IF(A14="",0,MAX(H13-D14-F14,0))</f>
        <v>275356.69</v>
      </c>
      <c r="I14" s="37">
        <f>IF(A14="",0,I13+E14)</f>
        <v>15054.59</v>
      </c>
    </row>
    <row r="15" ht="26" customHeight="1" spans="1:9" x14ac:dyDescent="0.25">
      <c r="A15" s="32">
        <f>IF(H14&gt;0,11,"")</f>
        <v>11</v>
      </c>
      <c r="B15" s="33">
        <f>IF(A15="","",DATE(YEAR('Mortgage Setup'!B8),MONTH('Mortgage Setup'!B8)+10,DAY('Mortgage Setup'!B8)))</f>
        <v>46327</v>
      </c>
      <c r="C15" s="34">
        <f>IF(A15="",0,IF(H14&lt;=0,0,MIN('Mortgage Setup'!B12,H14*(1+'Mortgage Setup'!B6/12))))</f>
        <v>1769.79</v>
      </c>
      <c r="D15" s="34">
        <f>IF(A15="",0,IF(H14&lt;=0,0,MIN(C15-E15,H14)))</f>
        <v>278.27</v>
      </c>
      <c r="E15" s="34">
        <f>IF(A15="",0,IF(H14&lt;=0,0,ROUND(H14*('Mortgage Setup'!B6/12),2)))</f>
        <v>1491.52</v>
      </c>
      <c r="F15" s="34">
        <f>IF(A15="",0,IF(H14&lt;=0,0,MIN('Mortgage Setup'!B9,MAX(H14-D15,0))))</f>
        <v>200</v>
      </c>
      <c r="G15" s="34">
        <f>IF(A15="",0,C15+F15)</f>
        <v>1969.79</v>
      </c>
      <c r="H15" s="34">
        <f>IF(A15="",0,MAX(H14-D15-F15,0))</f>
        <v>274878.42</v>
      </c>
      <c r="I15" s="34">
        <f>IF(A15="",0,I14+E15)</f>
        <v>16546.11</v>
      </c>
    </row>
    <row r="16" ht="26" customHeight="1" spans="1:9" x14ac:dyDescent="0.25">
      <c r="A16" s="35">
        <f>IF(H15&gt;0,12,"")</f>
        <v>12</v>
      </c>
      <c r="B16" s="36">
        <f>IF(A16="","",DATE(YEAR('Mortgage Setup'!B8),MONTH('Mortgage Setup'!B8)+11,DAY('Mortgage Setup'!B8)))</f>
        <v>46357</v>
      </c>
      <c r="C16" s="37">
        <f>IF(A16="",0,IF(H15&lt;=0,0,MIN('Mortgage Setup'!B12,H15*(1+'Mortgage Setup'!B6/12))))</f>
        <v>1769.79</v>
      </c>
      <c r="D16" s="37">
        <f>IF(A16="",0,IF(H15&lt;=0,0,MIN(C16-E16,H15)))</f>
        <v>280.87</v>
      </c>
      <c r="E16" s="37">
        <f>IF(A16="",0,IF(H15&lt;=0,0,ROUND(H15*('Mortgage Setup'!B6/12),2)))</f>
        <v>1488.92</v>
      </c>
      <c r="F16" s="37">
        <f>IF(A16="",0,IF(H15&lt;=0,0,MIN('Mortgage Setup'!B9,MAX(H15-D16,0))))</f>
        <v>200</v>
      </c>
      <c r="G16" s="37">
        <f>IF(A16="",0,C16+F16)</f>
        <v>1969.79</v>
      </c>
      <c r="H16" s="37">
        <f>IF(A16="",0,MAX(H15-D16-F16,0))</f>
        <v>274397.55</v>
      </c>
      <c r="I16" s="37">
        <f>IF(A16="",0,I15+E16)</f>
        <v>18035.03</v>
      </c>
    </row>
    <row r="17" ht="26" customHeight="1" spans="1:9" x14ac:dyDescent="0.25">
      <c r="A17" s="32">
        <f>IF(H16&gt;0,13,"")</f>
        <v>13</v>
      </c>
      <c r="B17" s="33">
        <f>IF(A17="","",DATE(YEAR('Mortgage Setup'!B8),MONTH('Mortgage Setup'!B8)+12,DAY('Mortgage Setup'!B8)))</f>
        <v>46388</v>
      </c>
      <c r="C17" s="34">
        <f>IF(A17="",0,IF(H16&lt;=0,0,MIN('Mortgage Setup'!B12,H16*(1+'Mortgage Setup'!B6/12))))</f>
        <v>1769.79</v>
      </c>
      <c r="D17" s="34">
        <f>IF(A17="",0,IF(H16&lt;=0,0,MIN(C17-E17,H16)))</f>
        <v>283.47</v>
      </c>
      <c r="E17" s="34">
        <f>IF(A17="",0,IF(H16&lt;=0,0,ROUND(H16*('Mortgage Setup'!B6/12),2)))</f>
        <v>1486.32</v>
      </c>
      <c r="F17" s="34">
        <f>IF(A17="",0,IF(H16&lt;=0,0,MIN('Mortgage Setup'!B9,MAX(H16-D17,0))))</f>
        <v>200</v>
      </c>
      <c r="G17" s="34">
        <f>IF(A17="",0,C17+F17)</f>
        <v>1969.79</v>
      </c>
      <c r="H17" s="34">
        <f>IF(A17="",0,MAX(H16-D17-F17,0))</f>
        <v>273914.08</v>
      </c>
      <c r="I17" s="34">
        <f>IF(A17="",0,I16+E17)</f>
        <v>19521.35</v>
      </c>
    </row>
    <row r="18" ht="26" customHeight="1" spans="1:9" x14ac:dyDescent="0.25">
      <c r="A18" s="35">
        <f>IF(H17&gt;0,14,"")</f>
        <v>14</v>
      </c>
      <c r="B18" s="36">
        <f>IF(A18="","",DATE(YEAR('Mortgage Setup'!B8),MONTH('Mortgage Setup'!B8)+13,DAY('Mortgage Setup'!B8)))</f>
        <v>46419</v>
      </c>
      <c r="C18" s="37">
        <f>IF(A18="",0,IF(H17&lt;=0,0,MIN('Mortgage Setup'!B12,H17*(1+'Mortgage Setup'!B6/12))))</f>
        <v>1769.79</v>
      </c>
      <c r="D18" s="37">
        <f>IF(A18="",0,IF(H17&lt;=0,0,MIN(C18-E18,H17)))</f>
        <v>286.09</v>
      </c>
      <c r="E18" s="37">
        <f>IF(A18="",0,IF(H17&lt;=0,0,ROUND(H17*('Mortgage Setup'!B6/12),2)))</f>
        <v>1483.7</v>
      </c>
      <c r="F18" s="37">
        <f>IF(A18="",0,IF(H17&lt;=0,0,MIN('Mortgage Setup'!B9,MAX(H17-D18,0))))</f>
        <v>200</v>
      </c>
      <c r="G18" s="37">
        <f>IF(A18="",0,C18+F18)</f>
        <v>1969.79</v>
      </c>
      <c r="H18" s="37">
        <f>IF(A18="",0,MAX(H17-D18-F18,0))</f>
        <v>273427.99</v>
      </c>
      <c r="I18" s="37">
        <f>IF(A18="",0,I17+E18)</f>
        <v>21005.05</v>
      </c>
    </row>
    <row r="19" ht="26" customHeight="1" spans="1:9" x14ac:dyDescent="0.25">
      <c r="A19" s="32">
        <f>IF(H18&gt;0,15,"")</f>
        <v>15</v>
      </c>
      <c r="B19" s="33">
        <f>IF(A19="","",DATE(YEAR('Mortgage Setup'!B8),MONTH('Mortgage Setup'!B8)+14,DAY('Mortgage Setup'!B8)))</f>
        <v>46447</v>
      </c>
      <c r="C19" s="34">
        <f>IF(A19="",0,IF(H18&lt;=0,0,MIN('Mortgage Setup'!B12,H18*(1+'Mortgage Setup'!B6/12))))</f>
        <v>1769.79</v>
      </c>
      <c r="D19" s="34">
        <f>IF(A19="",0,IF(H18&lt;=0,0,MIN(C19-E19,H18)))</f>
        <v>288.72</v>
      </c>
      <c r="E19" s="34">
        <f>IF(A19="",0,IF(H18&lt;=0,0,ROUND(H18*('Mortgage Setup'!B6/12),2)))</f>
        <v>1481.07</v>
      </c>
      <c r="F19" s="34">
        <f>IF(A19="",0,IF(H18&lt;=0,0,MIN('Mortgage Setup'!B9,MAX(H18-D19,0))))</f>
        <v>200</v>
      </c>
      <c r="G19" s="34">
        <f>IF(A19="",0,C19+F19)</f>
        <v>1969.79</v>
      </c>
      <c r="H19" s="34">
        <f>IF(A19="",0,MAX(H18-D19-F19,0))</f>
        <v>272939.27</v>
      </c>
      <c r="I19" s="34">
        <f>IF(A19="",0,I18+E19)</f>
        <v>22486.12</v>
      </c>
    </row>
    <row r="20" ht="26" customHeight="1" spans="1:9" x14ac:dyDescent="0.25">
      <c r="A20" s="35">
        <f>IF(H19&gt;0,16,"")</f>
        <v>16</v>
      </c>
      <c r="B20" s="36">
        <f>IF(A20="","",DATE(YEAR('Mortgage Setup'!B8),MONTH('Mortgage Setup'!B8)+15,DAY('Mortgage Setup'!B8)))</f>
        <v>46478</v>
      </c>
      <c r="C20" s="37">
        <f>IF(A20="",0,IF(H19&lt;=0,0,MIN('Mortgage Setup'!B12,H19*(1+'Mortgage Setup'!B6/12))))</f>
        <v>1769.79</v>
      </c>
      <c r="D20" s="37">
        <f>IF(A20="",0,IF(H19&lt;=0,0,MIN(C20-E20,H19)))</f>
        <v>291.37</v>
      </c>
      <c r="E20" s="37">
        <f>IF(A20="",0,IF(H19&lt;=0,0,ROUND(H19*('Mortgage Setup'!B6/12),2)))</f>
        <v>1478.42</v>
      </c>
      <c r="F20" s="37">
        <f>IF(A20="",0,IF(H19&lt;=0,0,MIN('Mortgage Setup'!B9,MAX(H19-D20,0))))</f>
        <v>200</v>
      </c>
      <c r="G20" s="37">
        <f>IF(A20="",0,C20+F20)</f>
        <v>1969.79</v>
      </c>
      <c r="H20" s="37">
        <f>IF(A20="",0,MAX(H19-D20-F20,0))</f>
        <v>272447.9</v>
      </c>
      <c r="I20" s="37">
        <f>IF(A20="",0,I19+E20)</f>
        <v>23964.54</v>
      </c>
    </row>
    <row r="21" ht="26" customHeight="1" spans="1:9" x14ac:dyDescent="0.25">
      <c r="A21" s="32">
        <f>IF(H20&gt;0,17,"")</f>
        <v>17</v>
      </c>
      <c r="B21" s="33">
        <f>IF(A21="","",DATE(YEAR('Mortgage Setup'!B8),MONTH('Mortgage Setup'!B8)+16,DAY('Mortgage Setup'!B8)))</f>
        <v>46508</v>
      </c>
      <c r="C21" s="34">
        <f>IF(A21="",0,IF(H20&lt;=0,0,MIN('Mortgage Setup'!B12,H20*(1+'Mortgage Setup'!B6/12))))</f>
        <v>1769.79</v>
      </c>
      <c r="D21" s="34">
        <f>IF(A21="",0,IF(H20&lt;=0,0,MIN(C21-E21,H20)))</f>
        <v>294.03</v>
      </c>
      <c r="E21" s="34">
        <f>IF(A21="",0,IF(H20&lt;=0,0,ROUND(H20*('Mortgage Setup'!B6/12),2)))</f>
        <v>1475.76</v>
      </c>
      <c r="F21" s="34">
        <f>IF(A21="",0,IF(H20&lt;=0,0,MIN('Mortgage Setup'!B9,MAX(H20-D21,0))))</f>
        <v>200</v>
      </c>
      <c r="G21" s="34">
        <f>IF(A21="",0,C21+F21)</f>
        <v>1969.79</v>
      </c>
      <c r="H21" s="34">
        <f>IF(A21="",0,MAX(H20-D21-F21,0))</f>
        <v>271953.87</v>
      </c>
      <c r="I21" s="34">
        <f>IF(A21="",0,I20+E21)</f>
        <v>25440.3</v>
      </c>
    </row>
    <row r="22" ht="26" customHeight="1" spans="1:9" x14ac:dyDescent="0.25">
      <c r="A22" s="35">
        <f>IF(H21&gt;0,18,"")</f>
        <v>18</v>
      </c>
      <c r="B22" s="36">
        <f>IF(A22="","",DATE(YEAR('Mortgage Setup'!B8),MONTH('Mortgage Setup'!B8)+17,DAY('Mortgage Setup'!B8)))</f>
        <v>46539</v>
      </c>
      <c r="C22" s="37">
        <f>IF(A22="",0,IF(H21&lt;=0,0,MIN('Mortgage Setup'!B12,H21*(1+'Mortgage Setup'!B6/12))))</f>
        <v>1769.79</v>
      </c>
      <c r="D22" s="37">
        <f>IF(A22="",0,IF(H21&lt;=0,0,MIN(C22-E22,H21)))</f>
        <v>296.71</v>
      </c>
      <c r="E22" s="37">
        <f>IF(A22="",0,IF(H21&lt;=0,0,ROUND(H21*('Mortgage Setup'!B6/12),2)))</f>
        <v>1473.08</v>
      </c>
      <c r="F22" s="37">
        <f>IF(A22="",0,IF(H21&lt;=0,0,MIN('Mortgage Setup'!B9,MAX(H21-D22,0))))</f>
        <v>200</v>
      </c>
      <c r="G22" s="37">
        <f>IF(A22="",0,C22+F22)</f>
        <v>1969.79</v>
      </c>
      <c r="H22" s="37">
        <f>IF(A22="",0,MAX(H21-D22-F22,0))</f>
        <v>271457.16</v>
      </c>
      <c r="I22" s="37">
        <f>IF(A22="",0,I21+E22)</f>
        <v>26913.379999999997</v>
      </c>
    </row>
    <row r="23" ht="26" customHeight="1" spans="1:9" x14ac:dyDescent="0.25">
      <c r="A23" s="32">
        <f>IF(H22&gt;0,19,"")</f>
        <v>19</v>
      </c>
      <c r="B23" s="33">
        <f>IF(A23="","",DATE(YEAR('Mortgage Setup'!B8),MONTH('Mortgage Setup'!B8)+18,DAY('Mortgage Setup'!B8)))</f>
        <v>46569</v>
      </c>
      <c r="C23" s="34">
        <f>IF(A23="",0,IF(H22&lt;=0,0,MIN('Mortgage Setup'!B12,H22*(1+'Mortgage Setup'!B6/12))))</f>
        <v>1769.79</v>
      </c>
      <c r="D23" s="34">
        <f>IF(A23="",0,IF(H22&lt;=0,0,MIN(C23-E23,H22)))</f>
        <v>299.4</v>
      </c>
      <c r="E23" s="34">
        <f>IF(A23="",0,IF(H22&lt;=0,0,ROUND(H22*('Mortgage Setup'!B6/12),2)))</f>
        <v>1470.39</v>
      </c>
      <c r="F23" s="34">
        <f>IF(A23="",0,IF(H22&lt;=0,0,MIN('Mortgage Setup'!B9,MAX(H22-D23,0))))</f>
        <v>200</v>
      </c>
      <c r="G23" s="34">
        <f>IF(A23="",0,C23+F23)</f>
        <v>1969.79</v>
      </c>
      <c r="H23" s="34">
        <f>IF(A23="",0,MAX(H22-D23-F23,0))</f>
        <v>270957.76</v>
      </c>
      <c r="I23" s="34">
        <f>IF(A23="",0,I22+E23)</f>
        <v>28383.769999999997</v>
      </c>
    </row>
    <row r="24" ht="26" customHeight="1" spans="1:9" x14ac:dyDescent="0.25">
      <c r="A24" s="35">
        <f>IF(H23&gt;0,20,"")</f>
        <v>20</v>
      </c>
      <c r="B24" s="36">
        <f>IF(A24="","",DATE(YEAR('Mortgage Setup'!B8),MONTH('Mortgage Setup'!B8)+19,DAY('Mortgage Setup'!B8)))</f>
        <v>46600</v>
      </c>
      <c r="C24" s="37">
        <f>IF(A24="",0,IF(H23&lt;=0,0,MIN('Mortgage Setup'!B12,H23*(1+'Mortgage Setup'!B6/12))))</f>
        <v>1769.79</v>
      </c>
      <c r="D24" s="37">
        <f>IF(A24="",0,IF(H23&lt;=0,0,MIN(C24-E24,H23)))</f>
        <v>302.1</v>
      </c>
      <c r="E24" s="37">
        <f>IF(A24="",0,IF(H23&lt;=0,0,ROUND(H23*('Mortgage Setup'!B6/12),2)))</f>
        <v>1467.69</v>
      </c>
      <c r="F24" s="37">
        <f>IF(A24="",0,IF(H23&lt;=0,0,MIN('Mortgage Setup'!B9,MAX(H23-D24,0))))</f>
        <v>200</v>
      </c>
      <c r="G24" s="37">
        <f>IF(A24="",0,C24+F24)</f>
        <v>1969.79</v>
      </c>
      <c r="H24" s="37">
        <f>IF(A24="",0,MAX(H23-D24-F24,0))</f>
        <v>270455.66</v>
      </c>
      <c r="I24" s="37">
        <f>IF(A24="",0,I23+E24)</f>
        <v>29851.459999999995</v>
      </c>
    </row>
    <row r="25" ht="26" customHeight="1" spans="1:9" x14ac:dyDescent="0.25">
      <c r="A25" s="32">
        <f>IF(H24&gt;0,21,"")</f>
        <v>21</v>
      </c>
      <c r="B25" s="33">
        <f>IF(A25="","",DATE(YEAR('Mortgage Setup'!B8),MONTH('Mortgage Setup'!B8)+20,DAY('Mortgage Setup'!B8)))</f>
        <v>46631</v>
      </c>
      <c r="C25" s="34">
        <f>IF(A25="",0,IF(H24&lt;=0,0,MIN('Mortgage Setup'!B12,H24*(1+'Mortgage Setup'!B6/12))))</f>
        <v>1769.79</v>
      </c>
      <c r="D25" s="34">
        <f>IF(A25="",0,IF(H24&lt;=0,0,MIN(C25-E25,H24)))</f>
        <v>304.82</v>
      </c>
      <c r="E25" s="34">
        <f>IF(A25="",0,IF(H24&lt;=0,0,ROUND(H24*('Mortgage Setup'!B6/12),2)))</f>
        <v>1464.97</v>
      </c>
      <c r="F25" s="34">
        <f>IF(A25="",0,IF(H24&lt;=0,0,MIN('Mortgage Setup'!B9,MAX(H24-D25,0))))</f>
        <v>200</v>
      </c>
      <c r="G25" s="34">
        <f>IF(A25="",0,C25+F25)</f>
        <v>1969.79</v>
      </c>
      <c r="H25" s="34">
        <f>IF(A25="",0,MAX(H24-D25-F25,0))</f>
        <v>269950.84</v>
      </c>
      <c r="I25" s="34">
        <f>IF(A25="",0,I24+E25)</f>
        <v>31316.429999999997</v>
      </c>
    </row>
    <row r="26" ht="26" customHeight="1" spans="1:9" x14ac:dyDescent="0.25">
      <c r="A26" s="35">
        <f>IF(H25&gt;0,22,"")</f>
        <v>22</v>
      </c>
      <c r="B26" s="36">
        <f>IF(A26="","",DATE(YEAR('Mortgage Setup'!B8),MONTH('Mortgage Setup'!B8)+21,DAY('Mortgage Setup'!B8)))</f>
        <v>46661</v>
      </c>
      <c r="C26" s="37">
        <f>IF(A26="",0,IF(H25&lt;=0,0,MIN('Mortgage Setup'!B12,H25*(1+'Mortgage Setup'!B6/12))))</f>
        <v>1769.79</v>
      </c>
      <c r="D26" s="37">
        <f>IF(A26="",0,IF(H25&lt;=0,0,MIN(C26-E26,H25)))</f>
        <v>307.56</v>
      </c>
      <c r="E26" s="37">
        <f>IF(A26="",0,IF(H25&lt;=0,0,ROUND(H25*('Mortgage Setup'!B6/12),2)))</f>
        <v>1462.23</v>
      </c>
      <c r="F26" s="37">
        <f>IF(A26="",0,IF(H25&lt;=0,0,MIN('Mortgage Setup'!B9,MAX(H25-D26,0))))</f>
        <v>200</v>
      </c>
      <c r="G26" s="37">
        <f>IF(A26="",0,C26+F26)</f>
        <v>1969.79</v>
      </c>
      <c r="H26" s="37">
        <f>IF(A26="",0,MAX(H25-D26-F26,0))</f>
        <v>269443.28</v>
      </c>
      <c r="I26" s="37">
        <f>IF(A26="",0,I25+E26)</f>
        <v>32778.659999999996</v>
      </c>
    </row>
    <row r="27" ht="26" customHeight="1" spans="1:9" x14ac:dyDescent="0.25">
      <c r="A27" s="32">
        <f>IF(H26&gt;0,23,"")</f>
        <v>23</v>
      </c>
      <c r="B27" s="33">
        <f>IF(A27="","",DATE(YEAR('Mortgage Setup'!B8),MONTH('Mortgage Setup'!B8)+22,DAY('Mortgage Setup'!B8)))</f>
        <v>46692</v>
      </c>
      <c r="C27" s="34">
        <f>IF(A27="",0,IF(H26&lt;=0,0,MIN('Mortgage Setup'!B12,H26*(1+'Mortgage Setup'!B6/12))))</f>
        <v>1769.79</v>
      </c>
      <c r="D27" s="34">
        <f>IF(A27="",0,IF(H26&lt;=0,0,MIN(C27-E27,H26)))</f>
        <v>310.31</v>
      </c>
      <c r="E27" s="34">
        <f>IF(A27="",0,IF(H26&lt;=0,0,ROUND(H26*('Mortgage Setup'!B6/12),2)))</f>
        <v>1459.48</v>
      </c>
      <c r="F27" s="34">
        <f>IF(A27="",0,IF(H26&lt;=0,0,MIN('Mortgage Setup'!B9,MAX(H26-D27,0))))</f>
        <v>200</v>
      </c>
      <c r="G27" s="34">
        <f>IF(A27="",0,C27+F27)</f>
        <v>1969.79</v>
      </c>
      <c r="H27" s="34">
        <f>IF(A27="",0,MAX(H26-D27-F27,0))</f>
        <v>268932.97</v>
      </c>
      <c r="I27" s="34">
        <f>IF(A27="",0,I26+E27)</f>
        <v>34238.14</v>
      </c>
    </row>
    <row r="28" ht="26" customHeight="1" spans="1:9" x14ac:dyDescent="0.25">
      <c r="A28" s="35">
        <f>IF(H27&gt;0,24,"")</f>
        <v>24</v>
      </c>
      <c r="B28" s="36">
        <f>IF(A28="","",DATE(YEAR('Mortgage Setup'!B8),MONTH('Mortgage Setup'!B8)+23,DAY('Mortgage Setup'!B8)))</f>
        <v>46722</v>
      </c>
      <c r="C28" s="37">
        <f>IF(A28="",0,IF(H27&lt;=0,0,MIN('Mortgage Setup'!B12,H27*(1+'Mortgage Setup'!B6/12))))</f>
        <v>1769.79</v>
      </c>
      <c r="D28" s="37">
        <f>IF(A28="",0,IF(H27&lt;=0,0,MIN(C28-E28,H27)))</f>
        <v>313.07</v>
      </c>
      <c r="E28" s="37">
        <f>IF(A28="",0,IF(H27&lt;=0,0,ROUND(H27*('Mortgage Setup'!B6/12),2)))</f>
        <v>1456.72</v>
      </c>
      <c r="F28" s="37">
        <f>IF(A28="",0,IF(H27&lt;=0,0,MIN('Mortgage Setup'!B9,MAX(H27-D28,0))))</f>
        <v>200</v>
      </c>
      <c r="G28" s="37">
        <f>IF(A28="",0,C28+F28)</f>
        <v>1969.79</v>
      </c>
      <c r="H28" s="37">
        <f>IF(A28="",0,MAX(H27-D28-F28,0))</f>
        <v>268419.9</v>
      </c>
      <c r="I28" s="37">
        <f>IF(A28="",0,I27+E28)</f>
        <v>35694.86</v>
      </c>
    </row>
    <row r="29" ht="26" customHeight="1" spans="1:9" x14ac:dyDescent="0.25">
      <c r="A29" s="32">
        <f>IF(H28&gt;0,25,"")</f>
        <v>25</v>
      </c>
      <c r="B29" s="33">
        <f>IF(A29="","",DATE(YEAR('Mortgage Setup'!B8),MONTH('Mortgage Setup'!B8)+24,DAY('Mortgage Setup'!B8)))</f>
        <v>46753</v>
      </c>
      <c r="C29" s="34">
        <f>IF(A29="",0,IF(H28&lt;=0,0,MIN('Mortgage Setup'!B12,H28*(1+'Mortgage Setup'!B6/12))))</f>
        <v>1769.79</v>
      </c>
      <c r="D29" s="34">
        <f>IF(A29="",0,IF(H28&lt;=0,0,MIN(C29-E29,H28)))</f>
        <v>315.85</v>
      </c>
      <c r="E29" s="34">
        <f>IF(A29="",0,IF(H28&lt;=0,0,ROUND(H28*('Mortgage Setup'!B6/12),2)))</f>
        <v>1453.94</v>
      </c>
      <c r="F29" s="34">
        <f>IF(A29="",0,IF(H28&lt;=0,0,MIN('Mortgage Setup'!B9,MAX(H28-D29,0))))</f>
        <v>200</v>
      </c>
      <c r="G29" s="34">
        <f>IF(A29="",0,C29+F29)</f>
        <v>1969.79</v>
      </c>
      <c r="H29" s="34">
        <f>IF(A29="",0,MAX(H28-D29-F29,0))</f>
        <v>267904.05</v>
      </c>
      <c r="I29" s="34">
        <f>IF(A29="",0,I28+E29)</f>
        <v>37148.8</v>
      </c>
    </row>
    <row r="30" ht="26" customHeight="1" spans="1:9" x14ac:dyDescent="0.25">
      <c r="A30" s="35">
        <f>IF(H29&gt;0,26,"")</f>
        <v>26</v>
      </c>
      <c r="B30" s="36">
        <f>IF(A30="","",DATE(YEAR('Mortgage Setup'!B8),MONTH('Mortgage Setup'!B8)+25,DAY('Mortgage Setup'!B8)))</f>
        <v>46784</v>
      </c>
      <c r="C30" s="37">
        <f>IF(A30="",0,IF(H29&lt;=0,0,MIN('Mortgage Setup'!B12,H29*(1+'Mortgage Setup'!B6/12))))</f>
        <v>1769.79</v>
      </c>
      <c r="D30" s="37">
        <f>IF(A30="",0,IF(H29&lt;=0,0,MIN(C30-E30,H29)))</f>
        <v>318.64</v>
      </c>
      <c r="E30" s="37">
        <f>IF(A30="",0,IF(H29&lt;=0,0,ROUND(H29*('Mortgage Setup'!B6/12),2)))</f>
        <v>1451.15</v>
      </c>
      <c r="F30" s="37">
        <f>IF(A30="",0,IF(H29&lt;=0,0,MIN('Mortgage Setup'!B9,MAX(H29-D30,0))))</f>
        <v>200</v>
      </c>
      <c r="G30" s="37">
        <f>IF(A30="",0,C30+F30)</f>
        <v>1969.79</v>
      </c>
      <c r="H30" s="37">
        <f>IF(A30="",0,MAX(H29-D30-F30,0))</f>
        <v>267385.41</v>
      </c>
      <c r="I30" s="37">
        <f>IF(A30="",0,I29+E30)</f>
        <v>38599.950000000004</v>
      </c>
    </row>
    <row r="31" ht="26" customHeight="1" spans="1:9" x14ac:dyDescent="0.25">
      <c r="A31" s="32">
        <f>IF(H30&gt;0,27,"")</f>
        <v>27</v>
      </c>
      <c r="B31" s="33">
        <f>IF(A31="","",DATE(YEAR('Mortgage Setup'!B8),MONTH('Mortgage Setup'!B8)+26,DAY('Mortgage Setup'!B8)))</f>
        <v>46813</v>
      </c>
      <c r="C31" s="34">
        <f>IF(A31="",0,IF(H30&lt;=0,0,MIN('Mortgage Setup'!B12,H30*(1+'Mortgage Setup'!B6/12))))</f>
        <v>1769.79</v>
      </c>
      <c r="D31" s="34">
        <f>IF(A31="",0,IF(H30&lt;=0,0,MIN(C31-E31,H30)))</f>
        <v>321.45</v>
      </c>
      <c r="E31" s="34">
        <f>IF(A31="",0,IF(H30&lt;=0,0,ROUND(H30*('Mortgage Setup'!B6/12),2)))</f>
        <v>1448.34</v>
      </c>
      <c r="F31" s="34">
        <f>IF(A31="",0,IF(H30&lt;=0,0,MIN('Mortgage Setup'!B9,MAX(H30-D31,0))))</f>
        <v>200</v>
      </c>
      <c r="G31" s="34">
        <f>IF(A31="",0,C31+F31)</f>
        <v>1969.79</v>
      </c>
      <c r="H31" s="34">
        <f>IF(A31="",0,MAX(H30-D31-F31,0))</f>
        <v>266863.96</v>
      </c>
      <c r="I31" s="34">
        <f>IF(A31="",0,I30+E31)</f>
        <v>40048.29</v>
      </c>
    </row>
    <row r="32" ht="26" customHeight="1" spans="1:9" x14ac:dyDescent="0.25">
      <c r="A32" s="35">
        <f>IF(H31&gt;0,28,"")</f>
        <v>28</v>
      </c>
      <c r="B32" s="36">
        <f>IF(A32="","",DATE(YEAR('Mortgage Setup'!B8),MONTH('Mortgage Setup'!B8)+27,DAY('Mortgage Setup'!B8)))</f>
        <v>46844</v>
      </c>
      <c r="C32" s="37">
        <f>IF(A32="",0,IF(H31&lt;=0,0,MIN('Mortgage Setup'!B12,H31*(1+'Mortgage Setup'!B6/12))))</f>
        <v>1769.79</v>
      </c>
      <c r="D32" s="37">
        <f>IF(A32="",0,IF(H31&lt;=0,0,MIN(C32-E32,H31)))</f>
        <v>324.28</v>
      </c>
      <c r="E32" s="37">
        <f>IF(A32="",0,IF(H31&lt;=0,0,ROUND(H31*('Mortgage Setup'!B6/12),2)))</f>
        <v>1445.51</v>
      </c>
      <c r="F32" s="37">
        <f>IF(A32="",0,IF(H31&lt;=0,0,MIN('Mortgage Setup'!B9,MAX(H31-D32,0))))</f>
        <v>200</v>
      </c>
      <c r="G32" s="37">
        <f>IF(A32="",0,C32+F32)</f>
        <v>1969.79</v>
      </c>
      <c r="H32" s="37">
        <f>IF(A32="",0,MAX(H31-D32-F32,0))</f>
        <v>266339.68</v>
      </c>
      <c r="I32" s="37">
        <f>IF(A32="",0,I31+E32)</f>
        <v>41493.8</v>
      </c>
    </row>
    <row r="33" ht="26" customHeight="1" spans="1:9" x14ac:dyDescent="0.25">
      <c r="A33" s="32">
        <f>IF(H32&gt;0,29,"")</f>
        <v>29</v>
      </c>
      <c r="B33" s="33">
        <f>IF(A33="","",DATE(YEAR('Mortgage Setup'!B8),MONTH('Mortgage Setup'!B8)+28,DAY('Mortgage Setup'!B8)))</f>
        <v>46874</v>
      </c>
      <c r="C33" s="34">
        <f>IF(A33="",0,IF(H32&lt;=0,0,MIN('Mortgage Setup'!B12,H32*(1+'Mortgage Setup'!B6/12))))</f>
        <v>1769.79</v>
      </c>
      <c r="D33" s="34">
        <f>IF(A33="",0,IF(H32&lt;=0,0,MIN(C33-E33,H32)))</f>
        <v>327.12</v>
      </c>
      <c r="E33" s="34">
        <f>IF(A33="",0,IF(H32&lt;=0,0,ROUND(H32*('Mortgage Setup'!B6/12),2)))</f>
        <v>1442.67</v>
      </c>
      <c r="F33" s="34">
        <f>IF(A33="",0,IF(H32&lt;=0,0,MIN('Mortgage Setup'!B9,MAX(H32-D33,0))))</f>
        <v>200</v>
      </c>
      <c r="G33" s="34">
        <f>IF(A33="",0,C33+F33)</f>
        <v>1969.79</v>
      </c>
      <c r="H33" s="34">
        <f>IF(A33="",0,MAX(H32-D33-F33,0))</f>
        <v>265812.56</v>
      </c>
      <c r="I33" s="34">
        <f>IF(A33="",0,I32+E33)</f>
        <v>42936.47</v>
      </c>
    </row>
    <row r="34" ht="26" customHeight="1" spans="1:9" x14ac:dyDescent="0.25">
      <c r="A34" s="35">
        <f>IF(H33&gt;0,30,"")</f>
        <v>30</v>
      </c>
      <c r="B34" s="36">
        <f>IF(A34="","",DATE(YEAR('Mortgage Setup'!B8),MONTH('Mortgage Setup'!B8)+29,DAY('Mortgage Setup'!B8)))</f>
        <v>46905</v>
      </c>
      <c r="C34" s="37">
        <f>IF(A34="",0,IF(H33&lt;=0,0,MIN('Mortgage Setup'!B12,H33*(1+'Mortgage Setup'!B6/12))))</f>
        <v>1769.79</v>
      </c>
      <c r="D34" s="37">
        <f>IF(A34="",0,IF(H33&lt;=0,0,MIN(C34-E34,H33)))</f>
        <v>329.97</v>
      </c>
      <c r="E34" s="37">
        <f>IF(A34="",0,IF(H33&lt;=0,0,ROUND(H33*('Mortgage Setup'!B6/12),2)))</f>
        <v>1439.82</v>
      </c>
      <c r="F34" s="37">
        <f>IF(A34="",0,IF(H33&lt;=0,0,MIN('Mortgage Setup'!B9,MAX(H33-D34,0))))</f>
        <v>200</v>
      </c>
      <c r="G34" s="37">
        <f>IF(A34="",0,C34+F34)</f>
        <v>1969.79</v>
      </c>
      <c r="H34" s="37">
        <f>IF(A34="",0,MAX(H33-D34-F34,0))</f>
        <v>265282.59</v>
      </c>
      <c r="I34" s="37">
        <f>IF(A34="",0,I33+E34)</f>
        <v>44376.29</v>
      </c>
    </row>
    <row r="35" ht="26" customHeight="1" spans="1:9" x14ac:dyDescent="0.25">
      <c r="A35" s="32">
        <f>IF(H34&gt;0,31,"")</f>
        <v>31</v>
      </c>
      <c r="B35" s="33">
        <f>IF(A35="","",DATE(YEAR('Mortgage Setup'!B8),MONTH('Mortgage Setup'!B8)+30,DAY('Mortgage Setup'!B8)))</f>
        <v>46935</v>
      </c>
      <c r="C35" s="34">
        <f>IF(A35="",0,IF(H34&lt;=0,0,MIN('Mortgage Setup'!B12,H34*(1+'Mortgage Setup'!B6/12))))</f>
        <v>1769.79</v>
      </c>
      <c r="D35" s="34">
        <f>IF(A35="",0,IF(H34&lt;=0,0,MIN(C35-E35,H34)))</f>
        <v>332.84</v>
      </c>
      <c r="E35" s="34">
        <f>IF(A35="",0,IF(H34&lt;=0,0,ROUND(H34*('Mortgage Setup'!B6/12),2)))</f>
        <v>1436.95</v>
      </c>
      <c r="F35" s="34">
        <f>IF(A35="",0,IF(H34&lt;=0,0,MIN('Mortgage Setup'!B9,MAX(H34-D35,0))))</f>
        <v>200</v>
      </c>
      <c r="G35" s="34">
        <f>IF(A35="",0,C35+F35)</f>
        <v>1969.79</v>
      </c>
      <c r="H35" s="34">
        <f>IF(A35="",0,MAX(H34-D35-F35,0))</f>
        <v>264749.75</v>
      </c>
      <c r="I35" s="34">
        <f>IF(A35="",0,I34+E35)</f>
        <v>45813.24</v>
      </c>
    </row>
    <row r="36" ht="26" customHeight="1" spans="1:9" x14ac:dyDescent="0.25">
      <c r="A36" s="35">
        <f>IF(H35&gt;0,32,"")</f>
        <v>32</v>
      </c>
      <c r="B36" s="36">
        <f>IF(A36="","",DATE(YEAR('Mortgage Setup'!B8),MONTH('Mortgage Setup'!B8)+31,DAY('Mortgage Setup'!B8)))</f>
        <v>46966</v>
      </c>
      <c r="C36" s="37">
        <f>IF(A36="",0,IF(H35&lt;=0,0,MIN('Mortgage Setup'!B12,H35*(1+'Mortgage Setup'!B6/12))))</f>
        <v>1769.79</v>
      </c>
      <c r="D36" s="37">
        <f>IF(A36="",0,IF(H35&lt;=0,0,MIN(C36-E36,H35)))</f>
        <v>335.73</v>
      </c>
      <c r="E36" s="37">
        <f>IF(A36="",0,IF(H35&lt;=0,0,ROUND(H35*('Mortgage Setup'!B6/12),2)))</f>
        <v>1434.06</v>
      </c>
      <c r="F36" s="37">
        <f>IF(A36="",0,IF(H35&lt;=0,0,MIN('Mortgage Setup'!B9,MAX(H35-D36,0))))</f>
        <v>200</v>
      </c>
      <c r="G36" s="37">
        <f>IF(A36="",0,C36+F36)</f>
        <v>1969.79</v>
      </c>
      <c r="H36" s="37">
        <f>IF(A36="",0,MAX(H35-D36-F36,0))</f>
        <v>264214.02</v>
      </c>
      <c r="I36" s="37">
        <f>IF(A36="",0,I35+E36)</f>
        <v>47247.299999999996</v>
      </c>
    </row>
    <row r="37" ht="26" customHeight="1" spans="1:9" x14ac:dyDescent="0.25">
      <c r="A37" s="32">
        <f>IF(H36&gt;0,33,"")</f>
        <v>33</v>
      </c>
      <c r="B37" s="33">
        <f>IF(A37="","",DATE(YEAR('Mortgage Setup'!B8),MONTH('Mortgage Setup'!B8)+32,DAY('Mortgage Setup'!B8)))</f>
        <v>46997</v>
      </c>
      <c r="C37" s="34">
        <f>IF(A37="",0,IF(H36&lt;=0,0,MIN('Mortgage Setup'!B12,H36*(1+'Mortgage Setup'!B6/12))))</f>
        <v>1769.79</v>
      </c>
      <c r="D37" s="34">
        <f>IF(A37="",0,IF(H36&lt;=0,0,MIN(C37-E37,H36)))</f>
        <v>338.63</v>
      </c>
      <c r="E37" s="34">
        <f>IF(A37="",0,IF(H36&lt;=0,0,ROUND(H36*('Mortgage Setup'!B6/12),2)))</f>
        <v>1431.16</v>
      </c>
      <c r="F37" s="34">
        <f>IF(A37="",0,IF(H36&lt;=0,0,MIN('Mortgage Setup'!B9,MAX(H36-D37,0))))</f>
        <v>200</v>
      </c>
      <c r="G37" s="34">
        <f>IF(A37="",0,C37+F37)</f>
        <v>1969.79</v>
      </c>
      <c r="H37" s="34">
        <f>IF(A37="",0,MAX(H36-D37-F37,0))</f>
        <v>263675.39</v>
      </c>
      <c r="I37" s="34">
        <f>IF(A37="",0,I36+E37)</f>
        <v>48678.46</v>
      </c>
    </row>
    <row r="38" ht="26" customHeight="1" spans="1:9" x14ac:dyDescent="0.25">
      <c r="A38" s="35">
        <f>IF(H37&gt;0,34,"")</f>
        <v>34</v>
      </c>
      <c r="B38" s="36">
        <f>IF(A38="","",DATE(YEAR('Mortgage Setup'!B8),MONTH('Mortgage Setup'!B8)+33,DAY('Mortgage Setup'!B8)))</f>
        <v>47027</v>
      </c>
      <c r="C38" s="37">
        <f>IF(A38="",0,IF(H37&lt;=0,0,MIN('Mortgage Setup'!B12,H37*(1+'Mortgage Setup'!B6/12))))</f>
        <v>1769.79</v>
      </c>
      <c r="D38" s="37">
        <f>IF(A38="",0,IF(H37&lt;=0,0,MIN(C38-E38,H37)))</f>
        <v>341.55</v>
      </c>
      <c r="E38" s="37">
        <f>IF(A38="",0,IF(H37&lt;=0,0,ROUND(H37*('Mortgage Setup'!B6/12),2)))</f>
        <v>1428.24</v>
      </c>
      <c r="F38" s="37">
        <f>IF(A38="",0,IF(H37&lt;=0,0,MIN('Mortgage Setup'!B9,MAX(H37-D38,0))))</f>
        <v>200</v>
      </c>
      <c r="G38" s="37">
        <f>IF(A38="",0,C38+F38)</f>
        <v>1969.79</v>
      </c>
      <c r="H38" s="37">
        <f>IF(A38="",0,MAX(H37-D38-F38,0))</f>
        <v>263133.84</v>
      </c>
      <c r="I38" s="37">
        <f>IF(A38="",0,I37+E38)</f>
        <v>50106.7</v>
      </c>
    </row>
    <row r="39" ht="26" customHeight="1" spans="1:9" x14ac:dyDescent="0.25">
      <c r="A39" s="32">
        <f>IF(H38&gt;0,35,"")</f>
        <v>35</v>
      </c>
      <c r="B39" s="33">
        <f>IF(A39="","",DATE(YEAR('Mortgage Setup'!B8),MONTH('Mortgage Setup'!B8)+34,DAY('Mortgage Setup'!B8)))</f>
        <v>47058</v>
      </c>
      <c r="C39" s="34">
        <f>IF(A39="",0,IF(H38&lt;=0,0,MIN('Mortgage Setup'!B12,H38*(1+'Mortgage Setup'!B6/12))))</f>
        <v>1769.79</v>
      </c>
      <c r="D39" s="34">
        <f>IF(A39="",0,IF(H38&lt;=0,0,MIN(C39-E39,H38)))</f>
        <v>344.48</v>
      </c>
      <c r="E39" s="34">
        <f>IF(A39="",0,IF(H38&lt;=0,0,ROUND(H38*('Mortgage Setup'!B6/12),2)))</f>
        <v>1425.31</v>
      </c>
      <c r="F39" s="34">
        <f>IF(A39="",0,IF(H38&lt;=0,0,MIN('Mortgage Setup'!B9,MAX(H38-D39,0))))</f>
        <v>200</v>
      </c>
      <c r="G39" s="34">
        <f>IF(A39="",0,C39+F39)</f>
        <v>1969.79</v>
      </c>
      <c r="H39" s="34">
        <f>IF(A39="",0,MAX(H38-D39-F39,0))</f>
        <v>262589.36</v>
      </c>
      <c r="I39" s="34">
        <f>IF(A39="",0,I38+E39)</f>
        <v>51532.009999999995</v>
      </c>
    </row>
    <row r="40" ht="26" customHeight="1" spans="1:9" x14ac:dyDescent="0.25">
      <c r="A40" s="35">
        <f>IF(H39&gt;0,36,"")</f>
        <v>36</v>
      </c>
      <c r="B40" s="36">
        <f>IF(A40="","",DATE(YEAR('Mortgage Setup'!B8),MONTH('Mortgage Setup'!B8)+35,DAY('Mortgage Setup'!B8)))</f>
        <v>47088</v>
      </c>
      <c r="C40" s="37">
        <f>IF(A40="",0,IF(H39&lt;=0,0,MIN('Mortgage Setup'!B12,H39*(1+'Mortgage Setup'!B6/12))))</f>
        <v>1769.79</v>
      </c>
      <c r="D40" s="37">
        <f>IF(A40="",0,IF(H39&lt;=0,0,MIN(C40-E40,H39)))</f>
        <v>347.43</v>
      </c>
      <c r="E40" s="37">
        <f>IF(A40="",0,IF(H39&lt;=0,0,ROUND(H39*('Mortgage Setup'!B6/12),2)))</f>
        <v>1422.36</v>
      </c>
      <c r="F40" s="37">
        <f>IF(A40="",0,IF(H39&lt;=0,0,MIN('Mortgage Setup'!B9,MAX(H39-D40,0))))</f>
        <v>200</v>
      </c>
      <c r="G40" s="37">
        <f>IF(A40="",0,C40+F40)</f>
        <v>1969.79</v>
      </c>
      <c r="H40" s="37">
        <f>IF(A40="",0,MAX(H39-D40-F40,0))</f>
        <v>262041.93</v>
      </c>
      <c r="I40" s="37">
        <f>IF(A40="",0,I39+E40)</f>
        <v>52954.369999999995</v>
      </c>
    </row>
    <row r="41" ht="26" customHeight="1" spans="1:9" x14ac:dyDescent="0.25">
      <c r="A41" s="32">
        <f>IF(H40&gt;0,37,"")</f>
        <v>37</v>
      </c>
      <c r="B41" s="33">
        <f>IF(A41="","",DATE(YEAR('Mortgage Setup'!B8),MONTH('Mortgage Setup'!B8)+36,DAY('Mortgage Setup'!B8)))</f>
        <v>47119</v>
      </c>
      <c r="C41" s="34">
        <f>IF(A41="",0,IF(H40&lt;=0,0,MIN('Mortgage Setup'!B12,H40*(1+'Mortgage Setup'!B6/12))))</f>
        <v>1769.79</v>
      </c>
      <c r="D41" s="34">
        <f>IF(A41="",0,IF(H40&lt;=0,0,MIN(C41-E41,H40)))</f>
        <v>350.4</v>
      </c>
      <c r="E41" s="34">
        <f>IF(A41="",0,IF(H40&lt;=0,0,ROUND(H40*('Mortgage Setup'!B6/12),2)))</f>
        <v>1419.39</v>
      </c>
      <c r="F41" s="34">
        <f>IF(A41="",0,IF(H40&lt;=0,0,MIN('Mortgage Setup'!B9,MAX(H40-D41,0))))</f>
        <v>200</v>
      </c>
      <c r="G41" s="34">
        <f>IF(A41="",0,C41+F41)</f>
        <v>1969.79</v>
      </c>
      <c r="H41" s="34">
        <f>IF(A41="",0,MAX(H40-D41-F41,0))</f>
        <v>261491.53</v>
      </c>
      <c r="I41" s="34">
        <f>IF(A41="",0,I40+E41)</f>
        <v>54373.759999999995</v>
      </c>
    </row>
    <row r="42" ht="26" customHeight="1" spans="1:9" x14ac:dyDescent="0.25">
      <c r="A42" s="35">
        <f>IF(H41&gt;0,38,"")</f>
        <v>38</v>
      </c>
      <c r="B42" s="36">
        <f>IF(A42="","",DATE(YEAR('Mortgage Setup'!B8),MONTH('Mortgage Setup'!B8)+37,DAY('Mortgage Setup'!B8)))</f>
        <v>47150</v>
      </c>
      <c r="C42" s="37">
        <f>IF(A42="",0,IF(H41&lt;=0,0,MIN('Mortgage Setup'!B12,H41*(1+'Mortgage Setup'!B6/12))))</f>
        <v>1769.79</v>
      </c>
      <c r="D42" s="37">
        <f>IF(A42="",0,IF(H41&lt;=0,0,MIN(C42-E42,H41)))</f>
        <v>353.38</v>
      </c>
      <c r="E42" s="37">
        <f>IF(A42="",0,IF(H41&lt;=0,0,ROUND(H41*('Mortgage Setup'!B6/12),2)))</f>
        <v>1416.41</v>
      </c>
      <c r="F42" s="37">
        <f>IF(A42="",0,IF(H41&lt;=0,0,MIN('Mortgage Setup'!B9,MAX(H41-D42,0))))</f>
        <v>200</v>
      </c>
      <c r="G42" s="37">
        <f>IF(A42="",0,C42+F42)</f>
        <v>1969.79</v>
      </c>
      <c r="H42" s="37">
        <f>IF(A42="",0,MAX(H41-D42-F42,0))</f>
        <v>260938.15</v>
      </c>
      <c r="I42" s="37">
        <f>IF(A42="",0,I41+E42)</f>
        <v>55790.17</v>
      </c>
    </row>
    <row r="43" ht="26" customHeight="1" spans="1:9" x14ac:dyDescent="0.25">
      <c r="A43" s="32">
        <f>IF(H42&gt;0,39,"")</f>
        <v>39</v>
      </c>
      <c r="B43" s="33">
        <f>IF(A43="","",DATE(YEAR('Mortgage Setup'!B8),MONTH('Mortgage Setup'!B8)+38,DAY('Mortgage Setup'!B8)))</f>
        <v>47178</v>
      </c>
      <c r="C43" s="34">
        <f>IF(A43="",0,IF(H42&lt;=0,0,MIN('Mortgage Setup'!B12,H42*(1+'Mortgage Setup'!B6/12))))</f>
        <v>1769.79</v>
      </c>
      <c r="D43" s="34">
        <f>IF(A43="",0,IF(H42&lt;=0,0,MIN(C43-E43,H42)))</f>
        <v>356.38</v>
      </c>
      <c r="E43" s="34">
        <f>IF(A43="",0,IF(H42&lt;=0,0,ROUND(H42*('Mortgage Setup'!B6/12),2)))</f>
        <v>1413.41</v>
      </c>
      <c r="F43" s="34">
        <f>IF(A43="",0,IF(H42&lt;=0,0,MIN('Mortgage Setup'!B9,MAX(H42-D43,0))))</f>
        <v>200</v>
      </c>
      <c r="G43" s="34">
        <f>IF(A43="",0,C43+F43)</f>
        <v>1969.79</v>
      </c>
      <c r="H43" s="34">
        <f>IF(A43="",0,MAX(H42-D43-F43,0))</f>
        <v>260381.77</v>
      </c>
      <c r="I43" s="34">
        <f>IF(A43="",0,I42+E43)</f>
        <v>57203.58</v>
      </c>
    </row>
    <row r="44" ht="26" customHeight="1" spans="1:9" x14ac:dyDescent="0.25">
      <c r="A44" s="35">
        <f>IF(H43&gt;0,40,"")</f>
        <v>40</v>
      </c>
      <c r="B44" s="36">
        <f>IF(A44="","",DATE(YEAR('Mortgage Setup'!B8),MONTH('Mortgage Setup'!B8)+39,DAY('Mortgage Setup'!B8)))</f>
        <v>47209</v>
      </c>
      <c r="C44" s="37">
        <f>IF(A44="",0,IF(H43&lt;=0,0,MIN('Mortgage Setup'!B12,H43*(1+'Mortgage Setup'!B6/12))))</f>
        <v>1769.79</v>
      </c>
      <c r="D44" s="37">
        <f>IF(A44="",0,IF(H43&lt;=0,0,MIN(C44-E44,H43)))</f>
        <v>359.39</v>
      </c>
      <c r="E44" s="37">
        <f>IF(A44="",0,IF(H43&lt;=0,0,ROUND(H43*('Mortgage Setup'!B6/12),2)))</f>
        <v>1410.4</v>
      </c>
      <c r="F44" s="37">
        <f>IF(A44="",0,IF(H43&lt;=0,0,MIN('Mortgage Setup'!B9,MAX(H43-D44,0))))</f>
        <v>200</v>
      </c>
      <c r="G44" s="37">
        <f>IF(A44="",0,C44+F44)</f>
        <v>1969.79</v>
      </c>
      <c r="H44" s="37">
        <f>IF(A44="",0,MAX(H43-D44-F44,0))</f>
        <v>259822.38</v>
      </c>
      <c r="I44" s="37">
        <f>IF(A44="",0,I43+E44)</f>
        <v>58613.98</v>
      </c>
    </row>
    <row r="45" ht="26" customHeight="1" spans="1:9" x14ac:dyDescent="0.25">
      <c r="A45" s="32">
        <f>IF(H44&gt;0,41,"")</f>
        <v>41</v>
      </c>
      <c r="B45" s="33">
        <f>IF(A45="","",DATE(YEAR('Mortgage Setup'!B8),MONTH('Mortgage Setup'!B8)+40,DAY('Mortgage Setup'!B8)))</f>
        <v>47239</v>
      </c>
      <c r="C45" s="34">
        <f>IF(A45="",0,IF(H44&lt;=0,0,MIN('Mortgage Setup'!B12,H44*(1+'Mortgage Setup'!B6/12))))</f>
        <v>1769.79</v>
      </c>
      <c r="D45" s="34">
        <f>IF(A45="",0,IF(H44&lt;=0,0,MIN(C45-E45,H44)))</f>
        <v>362.42</v>
      </c>
      <c r="E45" s="34">
        <f>IF(A45="",0,IF(H44&lt;=0,0,ROUND(H44*('Mortgage Setup'!B6/12),2)))</f>
        <v>1407.37</v>
      </c>
      <c r="F45" s="34">
        <f>IF(A45="",0,IF(H44&lt;=0,0,MIN('Mortgage Setup'!B9,MAX(H44-D45,0))))</f>
        <v>200</v>
      </c>
      <c r="G45" s="34">
        <f>IF(A45="",0,C45+F45)</f>
        <v>1969.79</v>
      </c>
      <c r="H45" s="34">
        <f>IF(A45="",0,MAX(H44-D45-F45,0))</f>
        <v>259259.96</v>
      </c>
      <c r="I45" s="34">
        <f>IF(A45="",0,I44+E45)</f>
        <v>60021.350000000006</v>
      </c>
    </row>
    <row r="46" ht="26" customHeight="1" spans="1:9" x14ac:dyDescent="0.25">
      <c r="A46" s="35">
        <f>IF(H45&gt;0,42,"")</f>
        <v>42</v>
      </c>
      <c r="B46" s="36">
        <f>IF(A46="","",DATE(YEAR('Mortgage Setup'!B8),MONTH('Mortgage Setup'!B8)+41,DAY('Mortgage Setup'!B8)))</f>
        <v>47270</v>
      </c>
      <c r="C46" s="37">
        <f>IF(A46="",0,IF(H45&lt;=0,0,MIN('Mortgage Setup'!B12,H45*(1+'Mortgage Setup'!B6/12))))</f>
        <v>1769.79</v>
      </c>
      <c r="D46" s="37">
        <f>IF(A46="",0,IF(H45&lt;=0,0,MIN(C46-E46,H45)))</f>
        <v>365.47</v>
      </c>
      <c r="E46" s="37">
        <f>IF(A46="",0,IF(H45&lt;=0,0,ROUND(H45*('Mortgage Setup'!B6/12),2)))</f>
        <v>1404.32</v>
      </c>
      <c r="F46" s="37">
        <f>IF(A46="",0,IF(H45&lt;=0,0,MIN('Mortgage Setup'!B9,MAX(H45-D46,0))))</f>
        <v>200</v>
      </c>
      <c r="G46" s="37">
        <f>IF(A46="",0,C46+F46)</f>
        <v>1969.79</v>
      </c>
      <c r="H46" s="37">
        <f>IF(A46="",0,MAX(H45-D46-F46,0))</f>
        <v>258694.49</v>
      </c>
      <c r="I46" s="37">
        <f>IF(A46="",0,I45+E46)</f>
        <v>61425.670000000006</v>
      </c>
    </row>
    <row r="47" ht="26" customHeight="1" spans="1:9" x14ac:dyDescent="0.25">
      <c r="A47" s="32">
        <f>IF(H46&gt;0,43,"")</f>
        <v>43</v>
      </c>
      <c r="B47" s="33">
        <f>IF(A47="","",DATE(YEAR('Mortgage Setup'!B8),MONTH('Mortgage Setup'!B8)+42,DAY('Mortgage Setup'!B8)))</f>
        <v>47300</v>
      </c>
      <c r="C47" s="34">
        <f>IF(A47="",0,IF(H46&lt;=0,0,MIN('Mortgage Setup'!B12,H46*(1+'Mortgage Setup'!B6/12))))</f>
        <v>1769.79</v>
      </c>
      <c r="D47" s="34">
        <f>IF(A47="",0,IF(H46&lt;=0,0,MIN(C47-E47,H46)))</f>
        <v>368.53</v>
      </c>
      <c r="E47" s="34">
        <f>IF(A47="",0,IF(H46&lt;=0,0,ROUND(H46*('Mortgage Setup'!B6/12),2)))</f>
        <v>1401.26</v>
      </c>
      <c r="F47" s="34">
        <f>IF(A47="",0,IF(H46&lt;=0,0,MIN('Mortgage Setup'!B9,MAX(H46-D47,0))))</f>
        <v>200</v>
      </c>
      <c r="G47" s="34">
        <f>IF(A47="",0,C47+F47)</f>
        <v>1969.79</v>
      </c>
      <c r="H47" s="34">
        <f>IF(A47="",0,MAX(H46-D47-F47,0))</f>
        <v>258125.96</v>
      </c>
      <c r="I47" s="34">
        <f>IF(A47="",0,I46+E47)</f>
        <v>62826.93000000001</v>
      </c>
    </row>
    <row r="48" ht="26" customHeight="1" spans="1:9" x14ac:dyDescent="0.25">
      <c r="A48" s="35">
        <f>IF(H47&gt;0,44,"")</f>
        <v>44</v>
      </c>
      <c r="B48" s="36">
        <f>IF(A48="","",DATE(YEAR('Mortgage Setup'!B8),MONTH('Mortgage Setup'!B8)+43,DAY('Mortgage Setup'!B8)))</f>
        <v>47331</v>
      </c>
      <c r="C48" s="37">
        <f>IF(A48="",0,IF(H47&lt;=0,0,MIN('Mortgage Setup'!B12,H47*(1+'Mortgage Setup'!B6/12))))</f>
        <v>1769.79</v>
      </c>
      <c r="D48" s="37">
        <f>IF(A48="",0,IF(H47&lt;=0,0,MIN(C48-E48,H47)))</f>
        <v>371.61</v>
      </c>
      <c r="E48" s="37">
        <f>IF(A48="",0,IF(H47&lt;=0,0,ROUND(H47*('Mortgage Setup'!B6/12),2)))</f>
        <v>1398.18</v>
      </c>
      <c r="F48" s="37">
        <f>IF(A48="",0,IF(H47&lt;=0,0,MIN('Mortgage Setup'!B9,MAX(H47-D48,0))))</f>
        <v>200</v>
      </c>
      <c r="G48" s="37">
        <f>IF(A48="",0,C48+F48)</f>
        <v>1969.79</v>
      </c>
      <c r="H48" s="37">
        <f>IF(A48="",0,MAX(H47-D48-F48,0))</f>
        <v>257554.35</v>
      </c>
      <c r="I48" s="37">
        <f>IF(A48="",0,I47+E48)</f>
        <v>64225.11000000001</v>
      </c>
    </row>
    <row r="49" ht="26" customHeight="1" spans="1:9" x14ac:dyDescent="0.25">
      <c r="A49" s="32">
        <f>IF(H48&gt;0,45,"")</f>
        <v>45</v>
      </c>
      <c r="B49" s="33">
        <f>IF(A49="","",DATE(YEAR('Mortgage Setup'!B8),MONTH('Mortgage Setup'!B8)+44,DAY('Mortgage Setup'!B8)))</f>
        <v>47362</v>
      </c>
      <c r="C49" s="34">
        <f>IF(A49="",0,IF(H48&lt;=0,0,MIN('Mortgage Setup'!B12,H48*(1+'Mortgage Setup'!B6/12))))</f>
        <v>1769.79</v>
      </c>
      <c r="D49" s="34">
        <f>IF(A49="",0,IF(H48&lt;=0,0,MIN(C49-E49,H48)))</f>
        <v>374.7</v>
      </c>
      <c r="E49" s="34">
        <f>IF(A49="",0,IF(H48&lt;=0,0,ROUND(H48*('Mortgage Setup'!B6/12),2)))</f>
        <v>1395.09</v>
      </c>
      <c r="F49" s="34">
        <f>IF(A49="",0,IF(H48&lt;=0,0,MIN('Mortgage Setup'!B9,MAX(H48-D49,0))))</f>
        <v>200</v>
      </c>
      <c r="G49" s="34">
        <f>IF(A49="",0,C49+F49)</f>
        <v>1969.79</v>
      </c>
      <c r="H49" s="34">
        <f>IF(A49="",0,MAX(H48-D49-F49,0))</f>
        <v>256979.65</v>
      </c>
      <c r="I49" s="34">
        <f>IF(A49="",0,I48+E49)</f>
        <v>65620.20000000001</v>
      </c>
    </row>
    <row r="50" ht="26" customHeight="1" spans="1:9" x14ac:dyDescent="0.25">
      <c r="A50" s="35">
        <f>IF(H49&gt;0,46,"")</f>
        <v>46</v>
      </c>
      <c r="B50" s="36">
        <f>IF(A50="","",DATE(YEAR('Mortgage Setup'!B8),MONTH('Mortgage Setup'!B8)+45,DAY('Mortgage Setup'!B8)))</f>
        <v>47392</v>
      </c>
      <c r="C50" s="37">
        <f>IF(A50="",0,IF(H49&lt;=0,0,MIN('Mortgage Setup'!B12,H49*(1+'Mortgage Setup'!B6/12))))</f>
        <v>1769.79</v>
      </c>
      <c r="D50" s="37">
        <f>IF(A50="",0,IF(H49&lt;=0,0,MIN(C50-E50,H49)))</f>
        <v>377.82</v>
      </c>
      <c r="E50" s="37">
        <f>IF(A50="",0,IF(H49&lt;=0,0,ROUND(H49*('Mortgage Setup'!B6/12),2)))</f>
        <v>1391.97</v>
      </c>
      <c r="F50" s="37">
        <f>IF(A50="",0,IF(H49&lt;=0,0,MIN('Mortgage Setup'!B9,MAX(H49-D50,0))))</f>
        <v>200</v>
      </c>
      <c r="G50" s="37">
        <f>IF(A50="",0,C50+F50)</f>
        <v>1969.79</v>
      </c>
      <c r="H50" s="37">
        <f>IF(A50="",0,MAX(H49-D50-F50,0))</f>
        <v>256401.83</v>
      </c>
      <c r="I50" s="37">
        <f>IF(A50="",0,I49+E50)</f>
        <v>67012.17000000001</v>
      </c>
    </row>
    <row r="51" ht="26" customHeight="1" spans="1:9" x14ac:dyDescent="0.25">
      <c r="A51" s="32">
        <f>IF(H50&gt;0,47,"")</f>
        <v>47</v>
      </c>
      <c r="B51" s="33">
        <f>IF(A51="","",DATE(YEAR('Mortgage Setup'!B8),MONTH('Mortgage Setup'!B8)+46,DAY('Mortgage Setup'!B8)))</f>
        <v>47423</v>
      </c>
      <c r="C51" s="34">
        <f>IF(A51="",0,IF(H50&lt;=0,0,MIN('Mortgage Setup'!B12,H50*(1+'Mortgage Setup'!B6/12))))</f>
        <v>1769.79</v>
      </c>
      <c r="D51" s="34">
        <f>IF(A51="",0,IF(H50&lt;=0,0,MIN(C51-E51,H50)))</f>
        <v>380.95</v>
      </c>
      <c r="E51" s="34">
        <f>IF(A51="",0,IF(H50&lt;=0,0,ROUND(H50*('Mortgage Setup'!B6/12),2)))</f>
        <v>1388.84</v>
      </c>
      <c r="F51" s="34">
        <f>IF(A51="",0,IF(H50&lt;=0,0,MIN('Mortgage Setup'!B9,MAX(H50-D51,0))))</f>
        <v>200</v>
      </c>
      <c r="G51" s="34">
        <f>IF(A51="",0,C51+F51)</f>
        <v>1969.79</v>
      </c>
      <c r="H51" s="34">
        <f>IF(A51="",0,MAX(H50-D51-F51,0))</f>
        <v>255820.88</v>
      </c>
      <c r="I51" s="34">
        <f>IF(A51="",0,I50+E51)</f>
        <v>68401.01000000001</v>
      </c>
    </row>
    <row r="52" ht="26" customHeight="1" spans="1:9" x14ac:dyDescent="0.25">
      <c r="A52" s="35">
        <f>IF(H51&gt;0,48,"")</f>
        <v>48</v>
      </c>
      <c r="B52" s="36">
        <f>IF(A52="","",DATE(YEAR('Mortgage Setup'!B8),MONTH('Mortgage Setup'!B8)+47,DAY('Mortgage Setup'!B8)))</f>
        <v>47453</v>
      </c>
      <c r="C52" s="37">
        <f>IF(A52="",0,IF(H51&lt;=0,0,MIN('Mortgage Setup'!B12,H51*(1+'Mortgage Setup'!B6/12))))</f>
        <v>1769.79</v>
      </c>
      <c r="D52" s="37">
        <f>IF(A52="",0,IF(H51&lt;=0,0,MIN(C52-E52,H51)))</f>
        <v>384.09</v>
      </c>
      <c r="E52" s="37">
        <f>IF(A52="",0,IF(H51&lt;=0,0,ROUND(H51*('Mortgage Setup'!B6/12),2)))</f>
        <v>1385.7</v>
      </c>
      <c r="F52" s="37">
        <f>IF(A52="",0,IF(H51&lt;=0,0,MIN('Mortgage Setup'!B9,MAX(H51-D52,0))))</f>
        <v>200</v>
      </c>
      <c r="G52" s="37">
        <f>IF(A52="",0,C52+F52)</f>
        <v>1969.79</v>
      </c>
      <c r="H52" s="37">
        <f>IF(A52="",0,MAX(H51-D52-F52,0))</f>
        <v>255236.79</v>
      </c>
      <c r="I52" s="37">
        <f>IF(A52="",0,I51+E52)</f>
        <v>69786.71</v>
      </c>
    </row>
    <row r="53" ht="26" customHeight="1" spans="1:9" x14ac:dyDescent="0.25">
      <c r="A53" s="32">
        <f>IF(H52&gt;0,49,"")</f>
        <v>49</v>
      </c>
      <c r="B53" s="33">
        <f>IF(A53="","",DATE(YEAR('Mortgage Setup'!B8),MONTH('Mortgage Setup'!B8)+48,DAY('Mortgage Setup'!B8)))</f>
        <v>47484</v>
      </c>
      <c r="C53" s="34">
        <f>IF(A53="",0,IF(H52&lt;=0,0,MIN('Mortgage Setup'!B12,H52*(1+'Mortgage Setup'!B6/12))))</f>
        <v>1769.79</v>
      </c>
      <c r="D53" s="34">
        <f>IF(A53="",0,IF(H52&lt;=0,0,MIN(C53-E53,H52)))</f>
        <v>387.26</v>
      </c>
      <c r="E53" s="34">
        <f>IF(A53="",0,IF(H52&lt;=0,0,ROUND(H52*('Mortgage Setup'!B6/12),2)))</f>
        <v>1382.53</v>
      </c>
      <c r="F53" s="34">
        <f>IF(A53="",0,IF(H52&lt;=0,0,MIN('Mortgage Setup'!B9,MAX(H52-D53,0))))</f>
        <v>200</v>
      </c>
      <c r="G53" s="34">
        <f>IF(A53="",0,C53+F53)</f>
        <v>1969.79</v>
      </c>
      <c r="H53" s="34">
        <f>IF(A53="",0,MAX(H52-D53-F53,0))</f>
        <v>254649.53</v>
      </c>
      <c r="I53" s="34">
        <f>IF(A53="",0,I52+E53)</f>
        <v>71169.24</v>
      </c>
    </row>
    <row r="54" ht="26" customHeight="1" spans="1:9" x14ac:dyDescent="0.25">
      <c r="A54" s="35">
        <f>IF(H53&gt;0,50,"")</f>
        <v>50</v>
      </c>
      <c r="B54" s="36">
        <f>IF(A54="","",DATE(YEAR('Mortgage Setup'!B8),MONTH('Mortgage Setup'!B8)+49,DAY('Mortgage Setup'!B8)))</f>
        <v>47515</v>
      </c>
      <c r="C54" s="37">
        <f>IF(A54="",0,IF(H53&lt;=0,0,MIN('Mortgage Setup'!B12,H53*(1+'Mortgage Setup'!B6/12))))</f>
        <v>1769.79</v>
      </c>
      <c r="D54" s="37">
        <f>IF(A54="",0,IF(H53&lt;=0,0,MIN(C54-E54,H53)))</f>
        <v>390.44</v>
      </c>
      <c r="E54" s="37">
        <f>IF(A54="",0,IF(H53&lt;=0,0,ROUND(H53*('Mortgage Setup'!B6/12),2)))</f>
        <v>1379.35</v>
      </c>
      <c r="F54" s="37">
        <f>IF(A54="",0,IF(H53&lt;=0,0,MIN('Mortgage Setup'!B9,MAX(H53-D54,0))))</f>
        <v>200</v>
      </c>
      <c r="G54" s="37">
        <f>IF(A54="",0,C54+F54)</f>
        <v>1969.79</v>
      </c>
      <c r="H54" s="37">
        <f>IF(A54="",0,MAX(H53-D54-F54,0))</f>
        <v>254059.09</v>
      </c>
      <c r="I54" s="37">
        <f>IF(A54="",0,I53+E54)</f>
        <v>72548.59000000001</v>
      </c>
    </row>
    <row r="55" ht="26" customHeight="1" spans="1:9" x14ac:dyDescent="0.25">
      <c r="A55" s="32">
        <f>IF(H54&gt;0,51,"")</f>
        <v>51</v>
      </c>
      <c r="B55" s="33">
        <f>IF(A55="","",DATE(YEAR('Mortgage Setup'!B8),MONTH('Mortgage Setup'!B8)+50,DAY('Mortgage Setup'!B8)))</f>
        <v>47543</v>
      </c>
      <c r="C55" s="34">
        <f>IF(A55="",0,IF(H54&lt;=0,0,MIN('Mortgage Setup'!B12,H54*(1+'Mortgage Setup'!B6/12))))</f>
        <v>1769.79</v>
      </c>
      <c r="D55" s="34">
        <f>IF(A55="",0,IF(H54&lt;=0,0,MIN(C55-E55,H54)))</f>
        <v>393.64</v>
      </c>
      <c r="E55" s="34">
        <f>IF(A55="",0,IF(H54&lt;=0,0,ROUND(H54*('Mortgage Setup'!B6/12),2)))</f>
        <v>1376.15</v>
      </c>
      <c r="F55" s="34">
        <f>IF(A55="",0,IF(H54&lt;=0,0,MIN('Mortgage Setup'!B9,MAX(H54-D55,0))))</f>
        <v>200</v>
      </c>
      <c r="G55" s="34">
        <f>IF(A55="",0,C55+F55)</f>
        <v>1969.79</v>
      </c>
      <c r="H55" s="34">
        <f>IF(A55="",0,MAX(H54-D55-F55,0))</f>
        <v>253465.45</v>
      </c>
      <c r="I55" s="34">
        <f>IF(A55="",0,I54+E55)</f>
        <v>73924.74</v>
      </c>
    </row>
    <row r="56" ht="26" customHeight="1" spans="1:9" x14ac:dyDescent="0.25">
      <c r="A56" s="35">
        <f>IF(H55&gt;0,52,"")</f>
        <v>52</v>
      </c>
      <c r="B56" s="36">
        <f>IF(A56="","",DATE(YEAR('Mortgage Setup'!B8),MONTH('Mortgage Setup'!B8)+51,DAY('Mortgage Setup'!B8)))</f>
        <v>47574</v>
      </c>
      <c r="C56" s="37">
        <f>IF(A56="",0,IF(H55&lt;=0,0,MIN('Mortgage Setup'!B12,H55*(1+'Mortgage Setup'!B6/12))))</f>
        <v>1769.79</v>
      </c>
      <c r="D56" s="37">
        <f>IF(A56="",0,IF(H55&lt;=0,0,MIN(C56-E56,H55)))</f>
        <v>396.85</v>
      </c>
      <c r="E56" s="37">
        <f>IF(A56="",0,IF(H55&lt;=0,0,ROUND(H55*('Mortgage Setup'!B6/12),2)))</f>
        <v>1372.94</v>
      </c>
      <c r="F56" s="37">
        <f>IF(A56="",0,IF(H55&lt;=0,0,MIN('Mortgage Setup'!B9,MAX(H55-D56,0))))</f>
        <v>200</v>
      </c>
      <c r="G56" s="37">
        <f>IF(A56="",0,C56+F56)</f>
        <v>1969.79</v>
      </c>
      <c r="H56" s="37">
        <f>IF(A56="",0,MAX(H55-D56-F56,0))</f>
        <v>252868.6</v>
      </c>
      <c r="I56" s="37">
        <f>IF(A56="",0,I55+E56)</f>
        <v>75297.68000000001</v>
      </c>
    </row>
    <row r="57" ht="26" customHeight="1" spans="1:9" x14ac:dyDescent="0.25">
      <c r="A57" s="32">
        <f>IF(H56&gt;0,53,"")</f>
        <v>53</v>
      </c>
      <c r="B57" s="33">
        <f>IF(A57="","",DATE(YEAR('Mortgage Setup'!B8),MONTH('Mortgage Setup'!B8)+52,DAY('Mortgage Setup'!B8)))</f>
        <v>47604</v>
      </c>
      <c r="C57" s="34">
        <f>IF(A57="",0,IF(H56&lt;=0,0,MIN('Mortgage Setup'!B12,H56*(1+'Mortgage Setup'!B6/12))))</f>
        <v>1769.79</v>
      </c>
      <c r="D57" s="34">
        <f>IF(A57="",0,IF(H56&lt;=0,0,MIN(C57-E57,H56)))</f>
        <v>400.09</v>
      </c>
      <c r="E57" s="34">
        <f>IF(A57="",0,IF(H56&lt;=0,0,ROUND(H56*('Mortgage Setup'!B6/12),2)))</f>
        <v>1369.7</v>
      </c>
      <c r="F57" s="34">
        <f>IF(A57="",0,IF(H56&lt;=0,0,MIN('Mortgage Setup'!B9,MAX(H56-D57,0))))</f>
        <v>200</v>
      </c>
      <c r="G57" s="34">
        <f>IF(A57="",0,C57+F57)</f>
        <v>1969.79</v>
      </c>
      <c r="H57" s="34">
        <f>IF(A57="",0,MAX(H56-D57-F57,0))</f>
        <v>252268.51</v>
      </c>
      <c r="I57" s="34">
        <f>IF(A57="",0,I56+E57)</f>
        <v>76667.38</v>
      </c>
    </row>
    <row r="58" ht="26" customHeight="1" spans="1:9" x14ac:dyDescent="0.25">
      <c r="A58" s="35">
        <f>IF(H57&gt;0,54,"")</f>
        <v>54</v>
      </c>
      <c r="B58" s="36">
        <f>IF(A58="","",DATE(YEAR('Mortgage Setup'!B8),MONTH('Mortgage Setup'!B8)+53,DAY('Mortgage Setup'!B8)))</f>
        <v>47635</v>
      </c>
      <c r="C58" s="37">
        <f>IF(A58="",0,IF(H57&lt;=0,0,MIN('Mortgage Setup'!B12,H57*(1+'Mortgage Setup'!B6/12))))</f>
        <v>1769.79</v>
      </c>
      <c r="D58" s="37">
        <f>IF(A58="",0,IF(H57&lt;=0,0,MIN(C58-E58,H57)))</f>
        <v>403.34</v>
      </c>
      <c r="E58" s="37">
        <f>IF(A58="",0,IF(H57&lt;=0,0,ROUND(H57*('Mortgage Setup'!B6/12),2)))</f>
        <v>1366.45</v>
      </c>
      <c r="F58" s="37">
        <f>IF(A58="",0,IF(H57&lt;=0,0,MIN('Mortgage Setup'!B9,MAX(H57-D58,0))))</f>
        <v>200</v>
      </c>
      <c r="G58" s="37">
        <f>IF(A58="",0,C58+F58)</f>
        <v>1969.79</v>
      </c>
      <c r="H58" s="37">
        <f>IF(A58="",0,MAX(H57-D58-F58,0))</f>
        <v>251665.17</v>
      </c>
      <c r="I58" s="37">
        <f>IF(A58="",0,I57+E58)</f>
        <v>78033.83</v>
      </c>
    </row>
    <row r="59" ht="26" customHeight="1" spans="1:9" x14ac:dyDescent="0.25">
      <c r="A59" s="32">
        <f>IF(H58&gt;0,55,"")</f>
        <v>55</v>
      </c>
      <c r="B59" s="33">
        <f>IF(A59="","",DATE(YEAR('Mortgage Setup'!B8),MONTH('Mortgage Setup'!B8)+54,DAY('Mortgage Setup'!B8)))</f>
        <v>47665</v>
      </c>
      <c r="C59" s="34">
        <f>IF(A59="",0,IF(H58&lt;=0,0,MIN('Mortgage Setup'!B12,H58*(1+'Mortgage Setup'!B6/12))))</f>
        <v>1769.79</v>
      </c>
      <c r="D59" s="34">
        <f>IF(A59="",0,IF(H58&lt;=0,0,MIN(C59-E59,H58)))</f>
        <v>406.6</v>
      </c>
      <c r="E59" s="34">
        <f>IF(A59="",0,IF(H58&lt;=0,0,ROUND(H58*('Mortgage Setup'!B6/12),2)))</f>
        <v>1363.19</v>
      </c>
      <c r="F59" s="34">
        <f>IF(A59="",0,IF(H58&lt;=0,0,MIN('Mortgage Setup'!B9,MAX(H58-D59,0))))</f>
        <v>200</v>
      </c>
      <c r="G59" s="34">
        <f>IF(A59="",0,C59+F59)</f>
        <v>1969.79</v>
      </c>
      <c r="H59" s="34">
        <f>IF(A59="",0,MAX(H58-D59-F59,0))</f>
        <v>251058.57</v>
      </c>
      <c r="I59" s="34">
        <f>IF(A59="",0,I58+E59)</f>
        <v>79397.02</v>
      </c>
    </row>
    <row r="60" ht="26" customHeight="1" spans="1:9" x14ac:dyDescent="0.25">
      <c r="A60" s="35">
        <f>IF(H59&gt;0,56,"")</f>
        <v>56</v>
      </c>
      <c r="B60" s="36">
        <f>IF(A60="","",DATE(YEAR('Mortgage Setup'!B8),MONTH('Mortgage Setup'!B8)+55,DAY('Mortgage Setup'!B8)))</f>
        <v>47696</v>
      </c>
      <c r="C60" s="37">
        <f>IF(A60="",0,IF(H59&lt;=0,0,MIN('Mortgage Setup'!B12,H59*(1+'Mortgage Setup'!B6/12))))</f>
        <v>1769.79</v>
      </c>
      <c r="D60" s="37">
        <f>IF(A60="",0,IF(H59&lt;=0,0,MIN(C60-E60,H59)))</f>
        <v>409.89</v>
      </c>
      <c r="E60" s="37">
        <f>IF(A60="",0,IF(H59&lt;=0,0,ROUND(H59*('Mortgage Setup'!B6/12),2)))</f>
        <v>1359.9</v>
      </c>
      <c r="F60" s="37">
        <f>IF(A60="",0,IF(H59&lt;=0,0,MIN('Mortgage Setup'!B9,MAX(H59-D60,0))))</f>
        <v>200</v>
      </c>
      <c r="G60" s="37">
        <f>IF(A60="",0,C60+F60)</f>
        <v>1969.79</v>
      </c>
      <c r="H60" s="37">
        <f>IF(A60="",0,MAX(H59-D60-F60,0))</f>
        <v>250448.68</v>
      </c>
      <c r="I60" s="37">
        <f>IF(A60="",0,I59+E60)</f>
        <v>80756.92</v>
      </c>
    </row>
    <row r="61" ht="26" customHeight="1" spans="1:9" x14ac:dyDescent="0.25">
      <c r="A61" s="32">
        <f>IF(H60&gt;0,57,"")</f>
        <v>57</v>
      </c>
      <c r="B61" s="33">
        <f>IF(A61="","",DATE(YEAR('Mortgage Setup'!B8),MONTH('Mortgage Setup'!B8)+56,DAY('Mortgage Setup'!B8)))</f>
        <v>47727</v>
      </c>
      <c r="C61" s="34">
        <f>IF(A61="",0,IF(H60&lt;=0,0,MIN('Mortgage Setup'!B12,H60*(1+'Mortgage Setup'!B6/12))))</f>
        <v>1769.79</v>
      </c>
      <c r="D61" s="34">
        <f>IF(A61="",0,IF(H60&lt;=0,0,MIN(C61-E61,H60)))</f>
        <v>413.19</v>
      </c>
      <c r="E61" s="34">
        <f>IF(A61="",0,IF(H60&lt;=0,0,ROUND(H60*('Mortgage Setup'!B6/12),2)))</f>
        <v>1356.6</v>
      </c>
      <c r="F61" s="34">
        <f>IF(A61="",0,IF(H60&lt;=0,0,MIN('Mortgage Setup'!B9,MAX(H60-D61,0))))</f>
        <v>200</v>
      </c>
      <c r="G61" s="34">
        <f>IF(A61="",0,C61+F61)</f>
        <v>1969.79</v>
      </c>
      <c r="H61" s="34">
        <f>IF(A61="",0,MAX(H60-D61-F61,0))</f>
        <v>249835.49</v>
      </c>
      <c r="I61" s="34">
        <f>IF(A61="",0,I60+E61)</f>
        <v>82113.52</v>
      </c>
    </row>
    <row r="62" ht="26" customHeight="1" spans="1:9" x14ac:dyDescent="0.25">
      <c r="A62" s="35">
        <f>IF(H61&gt;0,58,"")</f>
        <v>58</v>
      </c>
      <c r="B62" s="36">
        <f>IF(A62="","",DATE(YEAR('Mortgage Setup'!B8),MONTH('Mortgage Setup'!B8)+57,DAY('Mortgage Setup'!B8)))</f>
        <v>47757</v>
      </c>
      <c r="C62" s="37">
        <f>IF(A62="",0,IF(H61&lt;=0,0,MIN('Mortgage Setup'!B12,H61*(1+'Mortgage Setup'!B6/12))))</f>
        <v>1769.79</v>
      </c>
      <c r="D62" s="37">
        <f>IF(A62="",0,IF(H61&lt;=0,0,MIN(C62-E62,H61)))</f>
        <v>416.51</v>
      </c>
      <c r="E62" s="37">
        <f>IF(A62="",0,IF(H61&lt;=0,0,ROUND(H61*('Mortgage Setup'!B6/12),2)))</f>
        <v>1353.28</v>
      </c>
      <c r="F62" s="37">
        <f>IF(A62="",0,IF(H61&lt;=0,0,MIN('Mortgage Setup'!B9,MAX(H61-D62,0))))</f>
        <v>200</v>
      </c>
      <c r="G62" s="37">
        <f>IF(A62="",0,C62+F62)</f>
        <v>1969.79</v>
      </c>
      <c r="H62" s="37">
        <f>IF(A62="",0,MAX(H61-D62-F62,0))</f>
        <v>249218.98</v>
      </c>
      <c r="I62" s="37">
        <f>IF(A62="",0,I61+E62)</f>
        <v>83466.8</v>
      </c>
    </row>
    <row r="63" ht="26" customHeight="1" spans="1:9" x14ac:dyDescent="0.25">
      <c r="A63" s="32">
        <f>IF(H62&gt;0,59,"")</f>
        <v>59</v>
      </c>
      <c r="B63" s="33">
        <f>IF(A63="","",DATE(YEAR('Mortgage Setup'!B8),MONTH('Mortgage Setup'!B8)+58,DAY('Mortgage Setup'!B8)))</f>
        <v>47788</v>
      </c>
      <c r="C63" s="34">
        <f>IF(A63="",0,IF(H62&lt;=0,0,MIN('Mortgage Setup'!B12,H62*(1+'Mortgage Setup'!B6/12))))</f>
        <v>1769.79</v>
      </c>
      <c r="D63" s="34">
        <f>IF(A63="",0,IF(H62&lt;=0,0,MIN(C63-E63,H62)))</f>
        <v>419.85</v>
      </c>
      <c r="E63" s="34">
        <f>IF(A63="",0,IF(H62&lt;=0,0,ROUND(H62*('Mortgage Setup'!B6/12),2)))</f>
        <v>1349.94</v>
      </c>
      <c r="F63" s="34">
        <f>IF(A63="",0,IF(H62&lt;=0,0,MIN('Mortgage Setup'!B9,MAX(H62-D63,0))))</f>
        <v>200</v>
      </c>
      <c r="G63" s="34">
        <f>IF(A63="",0,C63+F63)</f>
        <v>1969.79</v>
      </c>
      <c r="H63" s="34">
        <f>IF(A63="",0,MAX(H62-D63-F63,0))</f>
        <v>248599.13</v>
      </c>
      <c r="I63" s="34">
        <f>IF(A63="",0,I62+E63)</f>
        <v>84816.74</v>
      </c>
    </row>
    <row r="64" ht="26" customHeight="1" spans="1:9" x14ac:dyDescent="0.25">
      <c r="A64" s="35">
        <f>IF(H63&gt;0,60,"")</f>
        <v>60</v>
      </c>
      <c r="B64" s="36">
        <f>IF(A64="","",DATE(YEAR('Mortgage Setup'!B8),MONTH('Mortgage Setup'!B8)+59,DAY('Mortgage Setup'!B8)))</f>
        <v>47818</v>
      </c>
      <c r="C64" s="37">
        <f>IF(A64="",0,IF(H63&lt;=0,0,MIN('Mortgage Setup'!B12,H63*(1+'Mortgage Setup'!B6/12))))</f>
        <v>1769.79</v>
      </c>
      <c r="D64" s="37">
        <f>IF(A64="",0,IF(H63&lt;=0,0,MIN(C64-E64,H63)))</f>
        <v>423.21</v>
      </c>
      <c r="E64" s="37">
        <f>IF(A64="",0,IF(H63&lt;=0,0,ROUND(H63*('Mortgage Setup'!B6/12),2)))</f>
        <v>1346.58</v>
      </c>
      <c r="F64" s="37">
        <f>IF(A64="",0,IF(H63&lt;=0,0,MIN('Mortgage Setup'!B9,MAX(H63-D64,0))))</f>
        <v>200</v>
      </c>
      <c r="G64" s="37">
        <f>IF(A64="",0,C64+F64)</f>
        <v>1969.79</v>
      </c>
      <c r="H64" s="37">
        <f>IF(A64="",0,MAX(H63-D64-F64,0))</f>
        <v>247975.92</v>
      </c>
      <c r="I64" s="37">
        <f>IF(A64="",0,I63+E64)</f>
        <v>86163.32</v>
      </c>
    </row>
    <row r="65" ht="26" customHeight="1" spans="1:9" x14ac:dyDescent="0.25">
      <c r="A65" s="32">
        <f>IF(H64&gt;0,61,"")</f>
        <v>61</v>
      </c>
      <c r="B65" s="33">
        <f>IF(A65="","",DATE(YEAR('Mortgage Setup'!B8),MONTH('Mortgage Setup'!B8)+60,DAY('Mortgage Setup'!B8)))</f>
        <v>47849</v>
      </c>
      <c r="C65" s="34">
        <f>IF(A65="",0,IF(H64&lt;=0,0,MIN('Mortgage Setup'!B12,H64*(1+'Mortgage Setup'!B6/12))))</f>
        <v>1769.79</v>
      </c>
      <c r="D65" s="34">
        <f>IF(A65="",0,IF(H64&lt;=0,0,MIN(C65-E65,H64)))</f>
        <v>426.59</v>
      </c>
      <c r="E65" s="34">
        <f>IF(A65="",0,IF(H64&lt;=0,0,ROUND(H64*('Mortgage Setup'!B6/12),2)))</f>
        <v>1343.2</v>
      </c>
      <c r="F65" s="34">
        <f>IF(A65="",0,IF(H64&lt;=0,0,MIN('Mortgage Setup'!B9,MAX(H64-D65,0))))</f>
        <v>200</v>
      </c>
      <c r="G65" s="34">
        <f>IF(A65="",0,C65+F65)</f>
        <v>1969.79</v>
      </c>
      <c r="H65" s="34">
        <f>IF(A65="",0,MAX(H64-D65-F65,0))</f>
        <v>247349.33</v>
      </c>
      <c r="I65" s="34">
        <f>IF(A65="",0,I64+E65)</f>
        <v>87506.52</v>
      </c>
    </row>
    <row r="66" ht="26" customHeight="1" spans="1:9" x14ac:dyDescent="0.25">
      <c r="A66" s="35">
        <f>IF(H65&gt;0,62,"")</f>
        <v>62</v>
      </c>
      <c r="B66" s="36">
        <f>IF(A66="","",DATE(YEAR('Mortgage Setup'!B8),MONTH('Mortgage Setup'!B8)+61,DAY('Mortgage Setup'!B8)))</f>
        <v>47880</v>
      </c>
      <c r="C66" s="37">
        <f>IF(A66="",0,IF(H65&lt;=0,0,MIN('Mortgage Setup'!B12,H65*(1+'Mortgage Setup'!B6/12))))</f>
        <v>1769.79</v>
      </c>
      <c r="D66" s="37">
        <f>IF(A66="",0,IF(H65&lt;=0,0,MIN(C66-E66,H65)))</f>
        <v>429.98</v>
      </c>
      <c r="E66" s="37">
        <f>IF(A66="",0,IF(H65&lt;=0,0,ROUND(H65*('Mortgage Setup'!B6/12),2)))</f>
        <v>1339.81</v>
      </c>
      <c r="F66" s="37">
        <f>IF(A66="",0,IF(H65&lt;=0,0,MIN('Mortgage Setup'!B9,MAX(H65-D66,0))))</f>
        <v>200</v>
      </c>
      <c r="G66" s="37">
        <f>IF(A66="",0,C66+F66)</f>
        <v>1969.79</v>
      </c>
      <c r="H66" s="37">
        <f>IF(A66="",0,MAX(H65-D66-F66,0))</f>
        <v>246719.35</v>
      </c>
      <c r="I66" s="37">
        <f>IF(A66="",0,I65+E66)</f>
        <v>88846.33</v>
      </c>
    </row>
    <row r="67" ht="26" customHeight="1" spans="1:9" x14ac:dyDescent="0.25">
      <c r="A67" s="32">
        <f>IF(H66&gt;0,63,"")</f>
        <v>63</v>
      </c>
      <c r="B67" s="33">
        <f>IF(A67="","",DATE(YEAR('Mortgage Setup'!B8),MONTH('Mortgage Setup'!B8)+62,DAY('Mortgage Setup'!B8)))</f>
        <v>47908</v>
      </c>
      <c r="C67" s="34">
        <f>IF(A67="",0,IF(H66&lt;=0,0,MIN('Mortgage Setup'!B12,H66*(1+'Mortgage Setup'!B6/12))))</f>
        <v>1769.79</v>
      </c>
      <c r="D67" s="34">
        <f>IF(A67="",0,IF(H66&lt;=0,0,MIN(C67-E67,H66)))</f>
        <v>433.39</v>
      </c>
      <c r="E67" s="34">
        <f>IF(A67="",0,IF(H66&lt;=0,0,ROUND(H66*('Mortgage Setup'!B6/12),2)))</f>
        <v>1336.4</v>
      </c>
      <c r="F67" s="34">
        <f>IF(A67="",0,IF(H66&lt;=0,0,MIN('Mortgage Setup'!B9,MAX(H66-D67,0))))</f>
        <v>200</v>
      </c>
      <c r="G67" s="34">
        <f>IF(A67="",0,C67+F67)</f>
        <v>1969.79</v>
      </c>
      <c r="H67" s="34">
        <f>IF(A67="",0,MAX(H66-D67-F67,0))</f>
        <v>246085.96</v>
      </c>
      <c r="I67" s="34">
        <f>IF(A67="",0,I66+E67)</f>
        <v>90182.73</v>
      </c>
    </row>
    <row r="68" ht="26" customHeight="1" spans="1:9" x14ac:dyDescent="0.25">
      <c r="A68" s="35">
        <f>IF(H67&gt;0,64,"")</f>
        <v>64</v>
      </c>
      <c r="B68" s="36">
        <f>IF(A68="","",DATE(YEAR('Mortgage Setup'!B8),MONTH('Mortgage Setup'!B8)+63,DAY('Mortgage Setup'!B8)))</f>
        <v>47939</v>
      </c>
      <c r="C68" s="37">
        <f>IF(A68="",0,IF(H67&lt;=0,0,MIN('Mortgage Setup'!B12,H67*(1+'Mortgage Setup'!B6/12))))</f>
        <v>1769.79</v>
      </c>
      <c r="D68" s="37">
        <f>IF(A68="",0,IF(H67&lt;=0,0,MIN(C68-E68,H67)))</f>
        <v>436.82</v>
      </c>
      <c r="E68" s="37">
        <f>IF(A68="",0,IF(H67&lt;=0,0,ROUND(H67*('Mortgage Setup'!B6/12),2)))</f>
        <v>1332.97</v>
      </c>
      <c r="F68" s="37">
        <f>IF(A68="",0,IF(H67&lt;=0,0,MIN('Mortgage Setup'!B9,MAX(H67-D68,0))))</f>
        <v>200</v>
      </c>
      <c r="G68" s="37">
        <f>IF(A68="",0,C68+F68)</f>
        <v>1969.79</v>
      </c>
      <c r="H68" s="37">
        <f>IF(A68="",0,MAX(H67-D68-F68,0))</f>
        <v>245449.14</v>
      </c>
      <c r="I68" s="37">
        <f>IF(A68="",0,I67+E68)</f>
        <v>91515.7</v>
      </c>
    </row>
    <row r="69" ht="26" customHeight="1" spans="1:9" x14ac:dyDescent="0.25">
      <c r="A69" s="32">
        <f>IF(H68&gt;0,65,"")</f>
        <v>65</v>
      </c>
      <c r="B69" s="33">
        <f>IF(A69="","",DATE(YEAR('Mortgage Setup'!B8),MONTH('Mortgage Setup'!B8)+64,DAY('Mortgage Setup'!B8)))</f>
        <v>47969</v>
      </c>
      <c r="C69" s="34">
        <f>IF(A69="",0,IF(H68&lt;=0,0,MIN('Mortgage Setup'!B12,H68*(1+'Mortgage Setup'!B6/12))))</f>
        <v>1769.79</v>
      </c>
      <c r="D69" s="34">
        <f>IF(A69="",0,IF(H68&lt;=0,0,MIN(C69-E69,H68)))</f>
        <v>440.27</v>
      </c>
      <c r="E69" s="34">
        <f>IF(A69="",0,IF(H68&lt;=0,0,ROUND(H68*('Mortgage Setup'!B6/12),2)))</f>
        <v>1329.52</v>
      </c>
      <c r="F69" s="34">
        <f>IF(A69="",0,IF(H68&lt;=0,0,MIN('Mortgage Setup'!B9,MAX(H68-D69,0))))</f>
        <v>200</v>
      </c>
      <c r="G69" s="34">
        <f>IF(A69="",0,C69+F69)</f>
        <v>1969.79</v>
      </c>
      <c r="H69" s="34">
        <f>IF(A69="",0,MAX(H68-D69-F69,0))</f>
        <v>244808.87</v>
      </c>
      <c r="I69" s="34">
        <f>IF(A69="",0,I68+E69)</f>
        <v>92845.22</v>
      </c>
    </row>
    <row r="70" ht="26" customHeight="1" spans="1:9" x14ac:dyDescent="0.25">
      <c r="A70" s="35">
        <f>IF(H69&gt;0,66,"")</f>
        <v>66</v>
      </c>
      <c r="B70" s="36">
        <f>IF(A70="","",DATE(YEAR('Mortgage Setup'!B8),MONTH('Mortgage Setup'!B8)+65,DAY('Mortgage Setup'!B8)))</f>
        <v>48000</v>
      </c>
      <c r="C70" s="37">
        <f>IF(A70="",0,IF(H69&lt;=0,0,MIN('Mortgage Setup'!B12,H69*(1+'Mortgage Setup'!B6/12))))</f>
        <v>1769.79</v>
      </c>
      <c r="D70" s="37">
        <f>IF(A70="",0,IF(H69&lt;=0,0,MIN(C70-E70,H69)))</f>
        <v>443.74</v>
      </c>
      <c r="E70" s="37">
        <f>IF(A70="",0,IF(H69&lt;=0,0,ROUND(H69*('Mortgage Setup'!B6/12),2)))</f>
        <v>1326.05</v>
      </c>
      <c r="F70" s="37">
        <f>IF(A70="",0,IF(H69&lt;=0,0,MIN('Mortgage Setup'!B9,MAX(H69-D70,0))))</f>
        <v>200</v>
      </c>
      <c r="G70" s="37">
        <f>IF(A70="",0,C70+F70)</f>
        <v>1969.79</v>
      </c>
      <c r="H70" s="37">
        <f>IF(A70="",0,MAX(H69-D70-F70,0))</f>
        <v>244165.13</v>
      </c>
      <c r="I70" s="37">
        <f>IF(A70="",0,I69+E70)</f>
        <v>94171.27</v>
      </c>
    </row>
    <row r="71" ht="26" customHeight="1" spans="1:9" x14ac:dyDescent="0.25">
      <c r="A71" s="32">
        <f>IF(H70&gt;0,67,"")</f>
        <v>67</v>
      </c>
      <c r="B71" s="33">
        <f>IF(A71="","",DATE(YEAR('Mortgage Setup'!B8),MONTH('Mortgage Setup'!B8)+66,DAY('Mortgage Setup'!B8)))</f>
        <v>48030</v>
      </c>
      <c r="C71" s="34">
        <f>IF(A71="",0,IF(H70&lt;=0,0,MIN('Mortgage Setup'!B12,H70*(1+'Mortgage Setup'!B6/12))))</f>
        <v>1769.79</v>
      </c>
      <c r="D71" s="34">
        <f>IF(A71="",0,IF(H70&lt;=0,0,MIN(C71-E71,H70)))</f>
        <v>447.23</v>
      </c>
      <c r="E71" s="34">
        <f>IF(A71="",0,IF(H70&lt;=0,0,ROUND(H70*('Mortgage Setup'!B6/12),2)))</f>
        <v>1322.56</v>
      </c>
      <c r="F71" s="34">
        <f>IF(A71="",0,IF(H70&lt;=0,0,MIN('Mortgage Setup'!B9,MAX(H70-D71,0))))</f>
        <v>200</v>
      </c>
      <c r="G71" s="34">
        <f>IF(A71="",0,C71+F71)</f>
        <v>1969.79</v>
      </c>
      <c r="H71" s="34">
        <f>IF(A71="",0,MAX(H70-D71-F71,0))</f>
        <v>243517.9</v>
      </c>
      <c r="I71" s="34">
        <f>IF(A71="",0,I70+E71)</f>
        <v>95493.83</v>
      </c>
    </row>
    <row r="72" ht="26" customHeight="1" spans="1:9" x14ac:dyDescent="0.25">
      <c r="A72" s="35">
        <f>IF(H71&gt;0,68,"")</f>
        <v>68</v>
      </c>
      <c r="B72" s="36">
        <f>IF(A72="","",DATE(YEAR('Mortgage Setup'!B8),MONTH('Mortgage Setup'!B8)+67,DAY('Mortgage Setup'!B8)))</f>
        <v>48061</v>
      </c>
      <c r="C72" s="37">
        <f>IF(A72="",0,IF(H71&lt;=0,0,MIN('Mortgage Setup'!B12,H71*(1+'Mortgage Setup'!B6/12))))</f>
        <v>1769.79</v>
      </c>
      <c r="D72" s="37">
        <f>IF(A72="",0,IF(H71&lt;=0,0,MIN(C72-E72,H71)))</f>
        <v>450.73</v>
      </c>
      <c r="E72" s="37">
        <f>IF(A72="",0,IF(H71&lt;=0,0,ROUND(H71*('Mortgage Setup'!B6/12),2)))</f>
        <v>1319.06</v>
      </c>
      <c r="F72" s="37">
        <f>IF(A72="",0,IF(H71&lt;=0,0,MIN('Mortgage Setup'!B9,MAX(H71-D72,0))))</f>
        <v>200</v>
      </c>
      <c r="G72" s="37">
        <f>IF(A72="",0,C72+F72)</f>
        <v>1969.79</v>
      </c>
      <c r="H72" s="37">
        <f>IF(A72="",0,MAX(H71-D72-F72,0))</f>
        <v>242867.17</v>
      </c>
      <c r="I72" s="37">
        <f>IF(A72="",0,I71+E72)</f>
        <v>96812.89</v>
      </c>
    </row>
    <row r="73" ht="26" customHeight="1" spans="1:9" x14ac:dyDescent="0.25">
      <c r="A73" s="32">
        <f>IF(H72&gt;0,69,"")</f>
        <v>69</v>
      </c>
      <c r="B73" s="33">
        <f>IF(A73="","",DATE(YEAR('Mortgage Setup'!B8),MONTH('Mortgage Setup'!B8)+68,DAY('Mortgage Setup'!B8)))</f>
        <v>48092</v>
      </c>
      <c r="C73" s="34">
        <f>IF(A73="",0,IF(H72&lt;=0,0,MIN('Mortgage Setup'!B12,H72*(1+'Mortgage Setup'!B6/12))))</f>
        <v>1769.79</v>
      </c>
      <c r="D73" s="34">
        <f>IF(A73="",0,IF(H72&lt;=0,0,MIN(C73-E73,H72)))</f>
        <v>454.26</v>
      </c>
      <c r="E73" s="34">
        <f>IF(A73="",0,IF(H72&lt;=0,0,ROUND(H72*('Mortgage Setup'!B6/12),2)))</f>
        <v>1315.53</v>
      </c>
      <c r="F73" s="34">
        <f>IF(A73="",0,IF(H72&lt;=0,0,MIN('Mortgage Setup'!B9,MAX(H72-D73,0))))</f>
        <v>200</v>
      </c>
      <c r="G73" s="34">
        <f>IF(A73="",0,C73+F73)</f>
        <v>1969.79</v>
      </c>
      <c r="H73" s="34">
        <f>IF(A73="",0,MAX(H72-D73-F73,0))</f>
        <v>242212.91</v>
      </c>
      <c r="I73" s="34">
        <f>IF(A73="",0,I72+E73)</f>
        <v>98128.42</v>
      </c>
    </row>
    <row r="74" ht="26" customHeight="1" spans="1:9" x14ac:dyDescent="0.25">
      <c r="A74" s="35">
        <f>IF(H73&gt;0,70,"")</f>
        <v>70</v>
      </c>
      <c r="B74" s="36">
        <f>IF(A74="","",DATE(YEAR('Mortgage Setup'!B8),MONTH('Mortgage Setup'!B8)+69,DAY('Mortgage Setup'!B8)))</f>
        <v>48122</v>
      </c>
      <c r="C74" s="37">
        <f>IF(A74="",0,IF(H73&lt;=0,0,MIN('Mortgage Setup'!B12,H73*(1+'Mortgage Setup'!B6/12))))</f>
        <v>1769.79</v>
      </c>
      <c r="D74" s="37">
        <f>IF(A74="",0,IF(H73&lt;=0,0,MIN(C74-E74,H73)))</f>
        <v>457.8</v>
      </c>
      <c r="E74" s="37">
        <f>IF(A74="",0,IF(H73&lt;=0,0,ROUND(H73*('Mortgage Setup'!B6/12),2)))</f>
        <v>1311.99</v>
      </c>
      <c r="F74" s="37">
        <f>IF(A74="",0,IF(H73&lt;=0,0,MIN('Mortgage Setup'!B9,MAX(H73-D74,0))))</f>
        <v>200</v>
      </c>
      <c r="G74" s="37">
        <f>IF(A74="",0,C74+F74)</f>
        <v>1969.79</v>
      </c>
      <c r="H74" s="37">
        <f>IF(A74="",0,MAX(H73-D74-F74,0))</f>
        <v>241555.11</v>
      </c>
      <c r="I74" s="37">
        <f>IF(A74="",0,I73+E74)</f>
        <v>99440.41</v>
      </c>
    </row>
    <row r="75" ht="26" customHeight="1" spans="1:9" x14ac:dyDescent="0.25">
      <c r="A75" s="32">
        <f>IF(H74&gt;0,71,"")</f>
        <v>71</v>
      </c>
      <c r="B75" s="33">
        <f>IF(A75="","",DATE(YEAR('Mortgage Setup'!B8),MONTH('Mortgage Setup'!B8)+70,DAY('Mortgage Setup'!B8)))</f>
        <v>48153</v>
      </c>
      <c r="C75" s="34">
        <f>IF(A75="",0,IF(H74&lt;=0,0,MIN('Mortgage Setup'!B12,H74*(1+'Mortgage Setup'!B6/12))))</f>
        <v>1769.79</v>
      </c>
      <c r="D75" s="34">
        <f>IF(A75="",0,IF(H74&lt;=0,0,MIN(C75-E75,H74)))</f>
        <v>461.37</v>
      </c>
      <c r="E75" s="34">
        <f>IF(A75="",0,IF(H74&lt;=0,0,ROUND(H74*('Mortgage Setup'!B6/12),2)))</f>
        <v>1308.42</v>
      </c>
      <c r="F75" s="34">
        <f>IF(A75="",0,IF(H74&lt;=0,0,MIN('Mortgage Setup'!B9,MAX(H74-D75,0))))</f>
        <v>200</v>
      </c>
      <c r="G75" s="34">
        <f>IF(A75="",0,C75+F75)</f>
        <v>1969.79</v>
      </c>
      <c r="H75" s="34">
        <f>IF(A75="",0,MAX(H74-D75-F75,0))</f>
        <v>240893.74</v>
      </c>
      <c r="I75" s="34">
        <f>IF(A75="",0,I74+E75)</f>
        <v>100748.83</v>
      </c>
    </row>
    <row r="76" ht="26" customHeight="1" spans="1:9" x14ac:dyDescent="0.25">
      <c r="A76" s="35">
        <f>IF(H75&gt;0,72,"")</f>
        <v>72</v>
      </c>
      <c r="B76" s="36">
        <f>IF(A76="","",DATE(YEAR('Mortgage Setup'!B8),MONTH('Mortgage Setup'!B8)+71,DAY('Mortgage Setup'!B8)))</f>
        <v>48183</v>
      </c>
      <c r="C76" s="37">
        <f>IF(A76="",0,IF(H75&lt;=0,0,MIN('Mortgage Setup'!B12,H75*(1+'Mortgage Setup'!B6/12))))</f>
        <v>1769.79</v>
      </c>
      <c r="D76" s="37">
        <f>IF(A76="",0,IF(H75&lt;=0,0,MIN(C76-E76,H75)))</f>
        <v>464.95</v>
      </c>
      <c r="E76" s="37">
        <f>IF(A76="",0,IF(H75&lt;=0,0,ROUND(H75*('Mortgage Setup'!B6/12),2)))</f>
        <v>1304.84</v>
      </c>
      <c r="F76" s="37">
        <f>IF(A76="",0,IF(H75&lt;=0,0,MIN('Mortgage Setup'!B9,MAX(H75-D76,0))))</f>
        <v>200</v>
      </c>
      <c r="G76" s="37">
        <f>IF(A76="",0,C76+F76)</f>
        <v>1969.79</v>
      </c>
      <c r="H76" s="37">
        <f>IF(A76="",0,MAX(H75-D76-F76,0))</f>
        <v>240228.79</v>
      </c>
      <c r="I76" s="37">
        <f>IF(A76="",0,I75+E76)</f>
        <v>102053.67</v>
      </c>
    </row>
    <row r="77" ht="26" customHeight="1" spans="1:9" x14ac:dyDescent="0.25">
      <c r="A77" s="32">
        <f>IF(H76&gt;0,73,"")</f>
        <v>73</v>
      </c>
      <c r="B77" s="33">
        <f>IF(A77="","",DATE(YEAR('Mortgage Setup'!B8),MONTH('Mortgage Setup'!B8)+72,DAY('Mortgage Setup'!B8)))</f>
        <v>48214</v>
      </c>
      <c r="C77" s="34">
        <f>IF(A77="",0,IF(H76&lt;=0,0,MIN('Mortgage Setup'!B12,H76*(1+'Mortgage Setup'!B6/12))))</f>
        <v>1769.79</v>
      </c>
      <c r="D77" s="34">
        <f>IF(A77="",0,IF(H76&lt;=0,0,MIN(C77-E77,H76)))</f>
        <v>468.55</v>
      </c>
      <c r="E77" s="34">
        <f>IF(A77="",0,IF(H76&lt;=0,0,ROUND(H76*('Mortgage Setup'!B6/12),2)))</f>
        <v>1301.24</v>
      </c>
      <c r="F77" s="34">
        <f>IF(A77="",0,IF(H76&lt;=0,0,MIN('Mortgage Setup'!B9,MAX(H76-D77,0))))</f>
        <v>200</v>
      </c>
      <c r="G77" s="34">
        <f>IF(A77="",0,C77+F77)</f>
        <v>1969.79</v>
      </c>
      <c r="H77" s="34">
        <f>IF(A77="",0,MAX(H76-D77-F77,0))</f>
        <v>239560.24</v>
      </c>
      <c r="I77" s="34">
        <f>IF(A77="",0,I76+E77)</f>
        <v>103354.91</v>
      </c>
    </row>
    <row r="78" ht="26" customHeight="1" spans="1:9" x14ac:dyDescent="0.25">
      <c r="A78" s="35">
        <f>IF(H77&gt;0,74,"")</f>
        <v>74</v>
      </c>
      <c r="B78" s="36">
        <f>IF(A78="","",DATE(YEAR('Mortgage Setup'!B8),MONTH('Mortgage Setup'!B8)+73,DAY('Mortgage Setup'!B8)))</f>
        <v>48245</v>
      </c>
      <c r="C78" s="37">
        <f>IF(A78="",0,IF(H77&lt;=0,0,MIN('Mortgage Setup'!B12,H77*(1+'Mortgage Setup'!B6/12))))</f>
        <v>1769.79</v>
      </c>
      <c r="D78" s="37">
        <f>IF(A78="",0,IF(H77&lt;=0,0,MIN(C78-E78,H77)))</f>
        <v>472.17</v>
      </c>
      <c r="E78" s="37">
        <f>IF(A78="",0,IF(H77&lt;=0,0,ROUND(H77*('Mortgage Setup'!B6/12),2)))</f>
        <v>1297.62</v>
      </c>
      <c r="F78" s="37">
        <f>IF(A78="",0,IF(H77&lt;=0,0,MIN('Mortgage Setup'!B9,MAX(H77-D78,0))))</f>
        <v>200</v>
      </c>
      <c r="G78" s="37">
        <f>IF(A78="",0,C78+F78)</f>
        <v>1969.79</v>
      </c>
      <c r="H78" s="37">
        <f>IF(A78="",0,MAX(H77-D78-F78,0))</f>
        <v>238888.07</v>
      </c>
      <c r="I78" s="37">
        <f>IF(A78="",0,I77+E78)</f>
        <v>104652.53</v>
      </c>
    </row>
    <row r="79" ht="26" customHeight="1" spans="1:9" x14ac:dyDescent="0.25">
      <c r="A79" s="32">
        <f>IF(H78&gt;0,75,"")</f>
        <v>75</v>
      </c>
      <c r="B79" s="33">
        <f>IF(A79="","",DATE(YEAR('Mortgage Setup'!B8),MONTH('Mortgage Setup'!B8)+74,DAY('Mortgage Setup'!B8)))</f>
        <v>48274</v>
      </c>
      <c r="C79" s="34">
        <f>IF(A79="",0,IF(H78&lt;=0,0,MIN('Mortgage Setup'!B12,H78*(1+'Mortgage Setup'!B6/12))))</f>
        <v>1769.79</v>
      </c>
      <c r="D79" s="34">
        <f>IF(A79="",0,IF(H78&lt;=0,0,MIN(C79-E79,H78)))</f>
        <v>475.81</v>
      </c>
      <c r="E79" s="34">
        <f>IF(A79="",0,IF(H78&lt;=0,0,ROUND(H78*('Mortgage Setup'!B6/12),2)))</f>
        <v>1293.98</v>
      </c>
      <c r="F79" s="34">
        <f>IF(A79="",0,IF(H78&lt;=0,0,MIN('Mortgage Setup'!B9,MAX(H78-D79,0))))</f>
        <v>200</v>
      </c>
      <c r="G79" s="34">
        <f>IF(A79="",0,C79+F79)</f>
        <v>1969.79</v>
      </c>
      <c r="H79" s="34">
        <f>IF(A79="",0,MAX(H78-D79-F79,0))</f>
        <v>238212.26</v>
      </c>
      <c r="I79" s="34">
        <f>IF(A79="",0,I78+E79)</f>
        <v>105946.51</v>
      </c>
    </row>
    <row r="80" ht="26" customHeight="1" spans="1:9" x14ac:dyDescent="0.25">
      <c r="A80" s="35">
        <f>IF(H79&gt;0,76,"")</f>
        <v>76</v>
      </c>
      <c r="B80" s="36">
        <f>IF(A80="","",DATE(YEAR('Mortgage Setup'!B8),MONTH('Mortgage Setup'!B8)+75,DAY('Mortgage Setup'!B8)))</f>
        <v>48305</v>
      </c>
      <c r="C80" s="37">
        <f>IF(A80="",0,IF(H79&lt;=0,0,MIN('Mortgage Setup'!B12,H79*(1+'Mortgage Setup'!B6/12))))</f>
        <v>1769.79</v>
      </c>
      <c r="D80" s="37">
        <f>IF(A80="",0,IF(H79&lt;=0,0,MIN(C80-E80,H79)))</f>
        <v>479.47</v>
      </c>
      <c r="E80" s="37">
        <f>IF(A80="",0,IF(H79&lt;=0,0,ROUND(H79*('Mortgage Setup'!B6/12),2)))</f>
        <v>1290.32</v>
      </c>
      <c r="F80" s="37">
        <f>IF(A80="",0,IF(H79&lt;=0,0,MIN('Mortgage Setup'!B9,MAX(H79-D80,0))))</f>
        <v>200</v>
      </c>
      <c r="G80" s="37">
        <f>IF(A80="",0,C80+F80)</f>
        <v>1969.79</v>
      </c>
      <c r="H80" s="37">
        <f>IF(A80="",0,MAX(H79-D80-F80,0))</f>
        <v>237532.79</v>
      </c>
      <c r="I80" s="37">
        <f>IF(A80="",0,I79+E80)</f>
        <v>107236.83</v>
      </c>
    </row>
    <row r="81" ht="26" customHeight="1" spans="1:9" x14ac:dyDescent="0.25">
      <c r="A81" s="32">
        <f>IF(H80&gt;0,77,"")</f>
        <v>77</v>
      </c>
      <c r="B81" s="33">
        <f>IF(A81="","",DATE(YEAR('Mortgage Setup'!B8),MONTH('Mortgage Setup'!B8)+76,DAY('Mortgage Setup'!B8)))</f>
        <v>48335</v>
      </c>
      <c r="C81" s="34">
        <f>IF(A81="",0,IF(H80&lt;=0,0,MIN('Mortgage Setup'!B12,H80*(1+'Mortgage Setup'!B6/12))))</f>
        <v>1769.79</v>
      </c>
      <c r="D81" s="34">
        <f>IF(A81="",0,IF(H80&lt;=0,0,MIN(C81-E81,H80)))</f>
        <v>483.15</v>
      </c>
      <c r="E81" s="34">
        <f>IF(A81="",0,IF(H80&lt;=0,0,ROUND(H80*('Mortgage Setup'!B6/12),2)))</f>
        <v>1286.64</v>
      </c>
      <c r="F81" s="34">
        <f>IF(A81="",0,IF(H80&lt;=0,0,MIN('Mortgage Setup'!B9,MAX(H80-D81,0))))</f>
        <v>200</v>
      </c>
      <c r="G81" s="34">
        <f>IF(A81="",0,C81+F81)</f>
        <v>1969.79</v>
      </c>
      <c r="H81" s="34">
        <f>IF(A81="",0,MAX(H80-D81-F81,0))</f>
        <v>236849.64</v>
      </c>
      <c r="I81" s="34">
        <f>IF(A81="",0,I80+E81)</f>
        <v>108523.47</v>
      </c>
    </row>
    <row r="82" ht="26" customHeight="1" spans="1:9" x14ac:dyDescent="0.25">
      <c r="A82" s="35">
        <f>IF(H81&gt;0,78,"")</f>
        <v>78</v>
      </c>
      <c r="B82" s="36">
        <f>IF(A82="","",DATE(YEAR('Mortgage Setup'!B8),MONTH('Mortgage Setup'!B8)+77,DAY('Mortgage Setup'!B8)))</f>
        <v>48366</v>
      </c>
      <c r="C82" s="37">
        <f>IF(A82="",0,IF(H81&lt;=0,0,MIN('Mortgage Setup'!B12,H81*(1+'Mortgage Setup'!B6/12))))</f>
        <v>1769.79</v>
      </c>
      <c r="D82" s="37">
        <f>IF(A82="",0,IF(H81&lt;=0,0,MIN(C82-E82,H81)))</f>
        <v>486.85</v>
      </c>
      <c r="E82" s="37">
        <f>IF(A82="",0,IF(H81&lt;=0,0,ROUND(H81*('Mortgage Setup'!B6/12),2)))</f>
        <v>1282.94</v>
      </c>
      <c r="F82" s="37">
        <f>IF(A82="",0,IF(H81&lt;=0,0,MIN('Mortgage Setup'!B9,MAX(H81-D82,0))))</f>
        <v>200</v>
      </c>
      <c r="G82" s="37">
        <f>IF(A82="",0,C82+F82)</f>
        <v>1969.79</v>
      </c>
      <c r="H82" s="37">
        <f>IF(A82="",0,MAX(H81-D82-F82,0))</f>
        <v>236162.79</v>
      </c>
      <c r="I82" s="37">
        <f>IF(A82="",0,I81+E82)</f>
        <v>109806.41</v>
      </c>
    </row>
    <row r="83" ht="26" customHeight="1" spans="1:9" x14ac:dyDescent="0.25">
      <c r="A83" s="32">
        <f>IF(H82&gt;0,79,"")</f>
        <v>79</v>
      </c>
      <c r="B83" s="33">
        <f>IF(A83="","",DATE(YEAR('Mortgage Setup'!B8),MONTH('Mortgage Setup'!B8)+78,DAY('Mortgage Setup'!B8)))</f>
        <v>48396</v>
      </c>
      <c r="C83" s="34">
        <f>IF(A83="",0,IF(H82&lt;=0,0,MIN('Mortgage Setup'!B12,H82*(1+'Mortgage Setup'!B6/12))))</f>
        <v>1769.79</v>
      </c>
      <c r="D83" s="34">
        <f>IF(A83="",0,IF(H82&lt;=0,0,MIN(C83-E83,H82)))</f>
        <v>490.57</v>
      </c>
      <c r="E83" s="34">
        <f>IF(A83="",0,IF(H82&lt;=0,0,ROUND(H82*('Mortgage Setup'!B6/12),2)))</f>
        <v>1279.22</v>
      </c>
      <c r="F83" s="34">
        <f>IF(A83="",0,IF(H82&lt;=0,0,MIN('Mortgage Setup'!B9,MAX(H82-D83,0))))</f>
        <v>200</v>
      </c>
      <c r="G83" s="34">
        <f>IF(A83="",0,C83+F83)</f>
        <v>1969.79</v>
      </c>
      <c r="H83" s="34">
        <f>IF(A83="",0,MAX(H82-D83-F83,0))</f>
        <v>235472.22</v>
      </c>
      <c r="I83" s="34">
        <f>IF(A83="",0,I82+E83)</f>
        <v>111085.63</v>
      </c>
    </row>
    <row r="84" ht="26" customHeight="1" spans="1:9" x14ac:dyDescent="0.25">
      <c r="A84" s="35">
        <f>IF(H83&gt;0,80,"")</f>
        <v>80</v>
      </c>
      <c r="B84" s="36">
        <f>IF(A84="","",DATE(YEAR('Mortgage Setup'!B8),MONTH('Mortgage Setup'!B8)+79,DAY('Mortgage Setup'!B8)))</f>
        <v>48427</v>
      </c>
      <c r="C84" s="37">
        <f>IF(A84="",0,IF(H83&lt;=0,0,MIN('Mortgage Setup'!B12,H83*(1+'Mortgage Setup'!B6/12))))</f>
        <v>1769.79</v>
      </c>
      <c r="D84" s="37">
        <f>IF(A84="",0,IF(H83&lt;=0,0,MIN(C84-E84,H83)))</f>
        <v>494.32</v>
      </c>
      <c r="E84" s="37">
        <f>IF(A84="",0,IF(H83&lt;=0,0,ROUND(H83*('Mortgage Setup'!B6/12),2)))</f>
        <v>1275.47</v>
      </c>
      <c r="F84" s="37">
        <f>IF(A84="",0,IF(H83&lt;=0,0,MIN('Mortgage Setup'!B9,MAX(H83-D84,0))))</f>
        <v>200</v>
      </c>
      <c r="G84" s="37">
        <f>IF(A84="",0,C84+F84)</f>
        <v>1969.79</v>
      </c>
      <c r="H84" s="37">
        <f>IF(A84="",0,MAX(H83-D84-F84,0))</f>
        <v>234777.9</v>
      </c>
      <c r="I84" s="37">
        <f>IF(A84="",0,I83+E84)</f>
        <v>112361.1</v>
      </c>
    </row>
    <row r="85" ht="26" customHeight="1" spans="1:9" x14ac:dyDescent="0.25">
      <c r="A85" s="32">
        <f>IF(H84&gt;0,81,"")</f>
        <v>81</v>
      </c>
      <c r="B85" s="33">
        <f>IF(A85="","",DATE(YEAR('Mortgage Setup'!B8),MONTH('Mortgage Setup'!B8)+80,DAY('Mortgage Setup'!B8)))</f>
        <v>48458</v>
      </c>
      <c r="C85" s="34">
        <f>IF(A85="",0,IF(H84&lt;=0,0,MIN('Mortgage Setup'!B12,H84*(1+'Mortgage Setup'!B6/12))))</f>
        <v>1769.79</v>
      </c>
      <c r="D85" s="34">
        <f>IF(A85="",0,IF(H84&lt;=0,0,MIN(C85-E85,H84)))</f>
        <v>498.08</v>
      </c>
      <c r="E85" s="34">
        <f>IF(A85="",0,IF(H84&lt;=0,0,ROUND(H84*('Mortgage Setup'!B6/12),2)))</f>
        <v>1271.71</v>
      </c>
      <c r="F85" s="34">
        <f>IF(A85="",0,IF(H84&lt;=0,0,MIN('Mortgage Setup'!B9,MAX(H84-D85,0))))</f>
        <v>200</v>
      </c>
      <c r="G85" s="34">
        <f>IF(A85="",0,C85+F85)</f>
        <v>1969.79</v>
      </c>
      <c r="H85" s="34">
        <f>IF(A85="",0,MAX(H84-D85-F85,0))</f>
        <v>234079.82</v>
      </c>
      <c r="I85" s="34">
        <f>IF(A85="",0,I84+E85)</f>
        <v>113632.81000000001</v>
      </c>
    </row>
    <row r="86" ht="26" customHeight="1" spans="1:9" x14ac:dyDescent="0.25">
      <c r="A86" s="35">
        <f>IF(H85&gt;0,82,"")</f>
        <v>82</v>
      </c>
      <c r="B86" s="36">
        <f>IF(A86="","",DATE(YEAR('Mortgage Setup'!B8),MONTH('Mortgage Setup'!B8)+81,DAY('Mortgage Setup'!B8)))</f>
        <v>48488</v>
      </c>
      <c r="C86" s="37">
        <f>IF(A86="",0,IF(H85&lt;=0,0,MIN('Mortgage Setup'!B12,H85*(1+'Mortgage Setup'!B6/12))))</f>
        <v>1769.79</v>
      </c>
      <c r="D86" s="37">
        <f>IF(A86="",0,IF(H85&lt;=0,0,MIN(C86-E86,H85)))</f>
        <v>501.86</v>
      </c>
      <c r="E86" s="37">
        <f>IF(A86="",0,IF(H85&lt;=0,0,ROUND(H85*('Mortgage Setup'!B6/12),2)))</f>
        <v>1267.93</v>
      </c>
      <c r="F86" s="37">
        <f>IF(A86="",0,IF(H85&lt;=0,0,MIN('Mortgage Setup'!B9,MAX(H85-D86,0))))</f>
        <v>200</v>
      </c>
      <c r="G86" s="37">
        <f>IF(A86="",0,C86+F86)</f>
        <v>1969.79</v>
      </c>
      <c r="H86" s="37">
        <f>IF(A86="",0,MAX(H85-D86-F86,0))</f>
        <v>233377.96</v>
      </c>
      <c r="I86" s="37">
        <f>IF(A86="",0,I85+E86)</f>
        <v>114900.74</v>
      </c>
    </row>
    <row r="87" ht="26" customHeight="1" spans="1:9" x14ac:dyDescent="0.25">
      <c r="A87" s="32">
        <f>IF(H86&gt;0,83,"")</f>
        <v>83</v>
      </c>
      <c r="B87" s="33">
        <f>IF(A87="","",DATE(YEAR('Mortgage Setup'!B8),MONTH('Mortgage Setup'!B8)+82,DAY('Mortgage Setup'!B8)))</f>
        <v>48519</v>
      </c>
      <c r="C87" s="34">
        <f>IF(A87="",0,IF(H86&lt;=0,0,MIN('Mortgage Setup'!B12,H86*(1+'Mortgage Setup'!B6/12))))</f>
        <v>1769.79</v>
      </c>
      <c r="D87" s="34">
        <f>IF(A87="",0,IF(H86&lt;=0,0,MIN(C87-E87,H86)))</f>
        <v>505.66</v>
      </c>
      <c r="E87" s="34">
        <f>IF(A87="",0,IF(H86&lt;=0,0,ROUND(H86*('Mortgage Setup'!B6/12),2)))</f>
        <v>1264.13</v>
      </c>
      <c r="F87" s="34">
        <f>IF(A87="",0,IF(H86&lt;=0,0,MIN('Mortgage Setup'!B9,MAX(H86-D87,0))))</f>
        <v>200</v>
      </c>
      <c r="G87" s="34">
        <f>IF(A87="",0,C87+F87)</f>
        <v>1969.7900000000002</v>
      </c>
      <c r="H87" s="34">
        <f>IF(A87="",0,MAX(H86-D87-F87,0))</f>
        <v>232672.3</v>
      </c>
      <c r="I87" s="34">
        <f>IF(A87="",0,I86+E87)</f>
        <v>116164.87000000001</v>
      </c>
    </row>
    <row r="88" ht="26" customHeight="1" spans="1:9" x14ac:dyDescent="0.25">
      <c r="A88" s="35">
        <f>IF(H87&gt;0,84,"")</f>
        <v>84</v>
      </c>
      <c r="B88" s="36">
        <f>IF(A88="","",DATE(YEAR('Mortgage Setup'!B8),MONTH('Mortgage Setup'!B8)+83,DAY('Mortgage Setup'!B8)))</f>
        <v>48549</v>
      </c>
      <c r="C88" s="37">
        <f>IF(A88="",0,IF(H87&lt;=0,0,MIN('Mortgage Setup'!B12,H87*(1+'Mortgage Setup'!B6/12))))</f>
        <v>1769.79</v>
      </c>
      <c r="D88" s="37">
        <f>IF(A88="",0,IF(H87&lt;=0,0,MIN(C88-E88,H87)))</f>
        <v>509.48</v>
      </c>
      <c r="E88" s="37">
        <f>IF(A88="",0,IF(H87&lt;=0,0,ROUND(H87*('Mortgage Setup'!B6/12),2)))</f>
        <v>1260.31</v>
      </c>
      <c r="F88" s="37">
        <f>IF(A88="",0,IF(H87&lt;=0,0,MIN('Mortgage Setup'!B9,MAX(H87-D88,0))))</f>
        <v>200</v>
      </c>
      <c r="G88" s="37">
        <f>IF(A88="",0,C88+F88)</f>
        <v>1969.79</v>
      </c>
      <c r="H88" s="37">
        <f>IF(A88="",0,MAX(H87-D88-F88,0))</f>
        <v>231962.82</v>
      </c>
      <c r="I88" s="37">
        <f>IF(A88="",0,I87+E88)</f>
        <v>117425.18000000001</v>
      </c>
    </row>
    <row r="89" ht="26" customHeight="1" spans="1:9" x14ac:dyDescent="0.25">
      <c r="A89" s="32">
        <f>IF(H88&gt;0,85,"")</f>
        <v>85</v>
      </c>
      <c r="B89" s="33">
        <f>IF(A89="","",DATE(YEAR('Mortgage Setup'!B8),MONTH('Mortgage Setup'!B8)+84,DAY('Mortgage Setup'!B8)))</f>
        <v>48580</v>
      </c>
      <c r="C89" s="34">
        <f>IF(A89="",0,IF(H88&lt;=0,0,MIN('Mortgage Setup'!B12,H88*(1+'Mortgage Setup'!B6/12))))</f>
        <v>1769.79</v>
      </c>
      <c r="D89" s="34">
        <f>IF(A89="",0,IF(H88&lt;=0,0,MIN(C89-E89,H88)))</f>
        <v>513.32</v>
      </c>
      <c r="E89" s="34">
        <f>IF(A89="",0,IF(H88&lt;=0,0,ROUND(H88*('Mortgage Setup'!B6/12),2)))</f>
        <v>1256.47</v>
      </c>
      <c r="F89" s="34">
        <f>IF(A89="",0,IF(H88&lt;=0,0,MIN('Mortgage Setup'!B9,MAX(H88-D89,0))))</f>
        <v>200</v>
      </c>
      <c r="G89" s="34">
        <f>IF(A89="",0,C89+F89)</f>
        <v>1969.79</v>
      </c>
      <c r="H89" s="34">
        <f>IF(A89="",0,MAX(H88-D89-F89,0))</f>
        <v>231249.5</v>
      </c>
      <c r="I89" s="34">
        <f>IF(A89="",0,I88+E89)</f>
        <v>118681.65000000001</v>
      </c>
    </row>
    <row r="90" ht="26" customHeight="1" spans="1:9" x14ac:dyDescent="0.25">
      <c r="A90" s="35">
        <f>IF(H89&gt;0,86,"")</f>
        <v>86</v>
      </c>
      <c r="B90" s="36">
        <f>IF(A90="","",DATE(YEAR('Mortgage Setup'!B8),MONTH('Mortgage Setup'!B8)+85,DAY('Mortgage Setup'!B8)))</f>
        <v>48611</v>
      </c>
      <c r="C90" s="37">
        <f>IF(A90="",0,IF(H89&lt;=0,0,MIN('Mortgage Setup'!B12,H89*(1+'Mortgage Setup'!B6/12))))</f>
        <v>1769.79</v>
      </c>
      <c r="D90" s="37">
        <f>IF(A90="",0,IF(H89&lt;=0,0,MIN(C90-E90,H89)))</f>
        <v>517.19</v>
      </c>
      <c r="E90" s="37">
        <f>IF(A90="",0,IF(H89&lt;=0,0,ROUND(H89*('Mortgage Setup'!B6/12),2)))</f>
        <v>1252.6</v>
      </c>
      <c r="F90" s="37">
        <f>IF(A90="",0,IF(H89&lt;=0,0,MIN('Mortgage Setup'!B9,MAX(H89-D90,0))))</f>
        <v>200</v>
      </c>
      <c r="G90" s="37">
        <f>IF(A90="",0,C90+F90)</f>
        <v>1969.79</v>
      </c>
      <c r="H90" s="37">
        <f>IF(A90="",0,MAX(H89-D90-F90,0))</f>
        <v>230532.31</v>
      </c>
      <c r="I90" s="37">
        <f>IF(A90="",0,I89+E90)</f>
        <v>119934.25000000001</v>
      </c>
    </row>
    <row r="91" ht="26" customHeight="1" spans="1:9" x14ac:dyDescent="0.25">
      <c r="A91" s="32">
        <f>IF(H90&gt;0,87,"")</f>
        <v>87</v>
      </c>
      <c r="B91" s="33">
        <f>IF(A91="","",DATE(YEAR('Mortgage Setup'!B8),MONTH('Mortgage Setup'!B8)+86,DAY('Mortgage Setup'!B8)))</f>
        <v>48639</v>
      </c>
      <c r="C91" s="34">
        <f>IF(A91="",0,IF(H90&lt;=0,0,MIN('Mortgage Setup'!B12,H90*(1+'Mortgage Setup'!B6/12))))</f>
        <v>1769.79</v>
      </c>
      <c r="D91" s="34">
        <f>IF(A91="",0,IF(H90&lt;=0,0,MIN(C91-E91,H90)))</f>
        <v>521.07</v>
      </c>
      <c r="E91" s="34">
        <f>IF(A91="",0,IF(H90&lt;=0,0,ROUND(H90*('Mortgage Setup'!B6/12),2)))</f>
        <v>1248.72</v>
      </c>
      <c r="F91" s="34">
        <f>IF(A91="",0,IF(H90&lt;=0,0,MIN('Mortgage Setup'!B9,MAX(H90-D91,0))))</f>
        <v>200</v>
      </c>
      <c r="G91" s="34">
        <f>IF(A91="",0,C91+F91)</f>
        <v>1969.79</v>
      </c>
      <c r="H91" s="34">
        <f>IF(A91="",0,MAX(H90-D91-F91,0))</f>
        <v>229811.24</v>
      </c>
      <c r="I91" s="34">
        <f>IF(A91="",0,I90+E91)</f>
        <v>121182.97000000002</v>
      </c>
    </row>
    <row r="92" ht="26" customHeight="1" spans="1:9" x14ac:dyDescent="0.25">
      <c r="A92" s="35">
        <f>IF(H91&gt;0,88,"")</f>
        <v>88</v>
      </c>
      <c r="B92" s="36">
        <f>IF(A92="","",DATE(YEAR('Mortgage Setup'!B8),MONTH('Mortgage Setup'!B8)+87,DAY('Mortgage Setup'!B8)))</f>
        <v>48670</v>
      </c>
      <c r="C92" s="37">
        <f>IF(A92="",0,IF(H91&lt;=0,0,MIN('Mortgage Setup'!B12,H91*(1+'Mortgage Setup'!B6/12))))</f>
        <v>1769.79</v>
      </c>
      <c r="D92" s="37">
        <f>IF(A92="",0,IF(H91&lt;=0,0,MIN(C92-E92,H91)))</f>
        <v>524.98</v>
      </c>
      <c r="E92" s="37">
        <f>IF(A92="",0,IF(H91&lt;=0,0,ROUND(H91*('Mortgage Setup'!B6/12),2)))</f>
        <v>1244.81</v>
      </c>
      <c r="F92" s="37">
        <f>IF(A92="",0,IF(H91&lt;=0,0,MIN('Mortgage Setup'!B9,MAX(H91-D92,0))))</f>
        <v>200</v>
      </c>
      <c r="G92" s="37">
        <f>IF(A92="",0,C92+F92)</f>
        <v>1969.79</v>
      </c>
      <c r="H92" s="37">
        <f>IF(A92="",0,MAX(H91-D92-F92,0))</f>
        <v>229086.26</v>
      </c>
      <c r="I92" s="37">
        <f>IF(A92="",0,I91+E92)</f>
        <v>122427.78000000001</v>
      </c>
    </row>
    <row r="93" ht="26" customHeight="1" spans="1:9" x14ac:dyDescent="0.25">
      <c r="A93" s="32">
        <f>IF(H92&gt;0,89,"")</f>
        <v>89</v>
      </c>
      <c r="B93" s="33">
        <f>IF(A93="","",DATE(YEAR('Mortgage Setup'!B8),MONTH('Mortgage Setup'!B8)+88,DAY('Mortgage Setup'!B8)))</f>
        <v>48700</v>
      </c>
      <c r="C93" s="34">
        <f>IF(A93="",0,IF(H92&lt;=0,0,MIN('Mortgage Setup'!B12,H92*(1+'Mortgage Setup'!B6/12))))</f>
        <v>1769.79</v>
      </c>
      <c r="D93" s="34">
        <f>IF(A93="",0,IF(H92&lt;=0,0,MIN(C93-E93,H92)))</f>
        <v>528.91</v>
      </c>
      <c r="E93" s="34">
        <f>IF(A93="",0,IF(H92&lt;=0,0,ROUND(H92*('Mortgage Setup'!B6/12),2)))</f>
        <v>1240.88</v>
      </c>
      <c r="F93" s="34">
        <f>IF(A93="",0,IF(H92&lt;=0,0,MIN('Mortgage Setup'!B9,MAX(H92-D93,0))))</f>
        <v>200</v>
      </c>
      <c r="G93" s="34">
        <f>IF(A93="",0,C93+F93)</f>
        <v>1969.79</v>
      </c>
      <c r="H93" s="34">
        <f>IF(A93="",0,MAX(H92-D93-F93,0))</f>
        <v>228357.35</v>
      </c>
      <c r="I93" s="34">
        <f>IF(A93="",0,I92+E93)</f>
        <v>123668.66000000002</v>
      </c>
    </row>
    <row r="94" ht="26" customHeight="1" spans="1:9" x14ac:dyDescent="0.25">
      <c r="A94" s="35">
        <f>IF(H93&gt;0,90,"")</f>
        <v>90</v>
      </c>
      <c r="B94" s="36">
        <f>IF(A94="","",DATE(YEAR('Mortgage Setup'!B8),MONTH('Mortgage Setup'!B8)+89,DAY('Mortgage Setup'!B8)))</f>
        <v>48731</v>
      </c>
      <c r="C94" s="37">
        <f>IF(A94="",0,IF(H93&lt;=0,0,MIN('Mortgage Setup'!B12,H93*(1+'Mortgage Setup'!B6/12))))</f>
        <v>1769.79</v>
      </c>
      <c r="D94" s="37">
        <f>IF(A94="",0,IF(H93&lt;=0,0,MIN(C94-E94,H93)))</f>
        <v>532.85</v>
      </c>
      <c r="E94" s="37">
        <f>IF(A94="",0,IF(H93&lt;=0,0,ROUND(H93*('Mortgage Setup'!B6/12),2)))</f>
        <v>1236.94</v>
      </c>
      <c r="F94" s="37">
        <f>IF(A94="",0,IF(H93&lt;=0,0,MIN('Mortgage Setup'!B9,MAX(H93-D94,0))))</f>
        <v>200</v>
      </c>
      <c r="G94" s="37">
        <f>IF(A94="",0,C94+F94)</f>
        <v>1969.79</v>
      </c>
      <c r="H94" s="37">
        <f>IF(A94="",0,MAX(H93-D94-F94,0))</f>
        <v>227624.5</v>
      </c>
      <c r="I94" s="37">
        <f>IF(A94="",0,I93+E94)</f>
        <v>124905.60000000002</v>
      </c>
    </row>
    <row r="95" ht="26" customHeight="1" spans="1:9" x14ac:dyDescent="0.25">
      <c r="A95" s="32">
        <f>IF(H94&gt;0,91,"")</f>
        <v>91</v>
      </c>
      <c r="B95" s="33">
        <f>IF(A95="","",DATE(YEAR('Mortgage Setup'!B8),MONTH('Mortgage Setup'!B8)+90,DAY('Mortgage Setup'!B8)))</f>
        <v>48761</v>
      </c>
      <c r="C95" s="34">
        <f>IF(A95="",0,IF(H94&lt;=0,0,MIN('Mortgage Setup'!B12,H94*(1+'Mortgage Setup'!B6/12))))</f>
        <v>1769.79</v>
      </c>
      <c r="D95" s="34">
        <f>IF(A95="",0,IF(H94&lt;=0,0,MIN(C95-E95,H94)))</f>
        <v>536.82</v>
      </c>
      <c r="E95" s="34">
        <f>IF(A95="",0,IF(H94&lt;=0,0,ROUND(H94*('Mortgage Setup'!B6/12),2)))</f>
        <v>1232.97</v>
      </c>
      <c r="F95" s="34">
        <f>IF(A95="",0,IF(H94&lt;=0,0,MIN('Mortgage Setup'!B9,MAX(H94-D95,0))))</f>
        <v>200</v>
      </c>
      <c r="G95" s="34">
        <f>IF(A95="",0,C95+F95)</f>
        <v>1969.79</v>
      </c>
      <c r="H95" s="34">
        <f>IF(A95="",0,MAX(H94-D95-F95,0))</f>
        <v>226887.68</v>
      </c>
      <c r="I95" s="34">
        <f>IF(A95="",0,I94+E95)</f>
        <v>126138.57000000002</v>
      </c>
    </row>
    <row r="96" ht="26" customHeight="1" spans="1:9" x14ac:dyDescent="0.25">
      <c r="A96" s="35">
        <f>IF(H95&gt;0,92,"")</f>
        <v>92</v>
      </c>
      <c r="B96" s="36">
        <f>IF(A96="","",DATE(YEAR('Mortgage Setup'!B8),MONTH('Mortgage Setup'!B8)+91,DAY('Mortgage Setup'!B8)))</f>
        <v>48792</v>
      </c>
      <c r="C96" s="37">
        <f>IF(A96="",0,IF(H95&lt;=0,0,MIN('Mortgage Setup'!B12,H95*(1+'Mortgage Setup'!B6/12))))</f>
        <v>1769.79</v>
      </c>
      <c r="D96" s="37">
        <f>IF(A96="",0,IF(H95&lt;=0,0,MIN(C96-E96,H95)))</f>
        <v>540.82</v>
      </c>
      <c r="E96" s="37">
        <f>IF(A96="",0,IF(H95&lt;=0,0,ROUND(H95*('Mortgage Setup'!B6/12),2)))</f>
        <v>1228.97</v>
      </c>
      <c r="F96" s="37">
        <f>IF(A96="",0,IF(H95&lt;=0,0,MIN('Mortgage Setup'!B9,MAX(H95-D96,0))))</f>
        <v>200</v>
      </c>
      <c r="G96" s="37">
        <f>IF(A96="",0,C96+F96)</f>
        <v>1969.79</v>
      </c>
      <c r="H96" s="37">
        <f>IF(A96="",0,MAX(H95-D96-F96,0))</f>
        <v>226146.86</v>
      </c>
      <c r="I96" s="37">
        <f>IF(A96="",0,I95+E96)</f>
        <v>127367.54000000002</v>
      </c>
    </row>
    <row r="97" ht="26" customHeight="1" spans="1:9" x14ac:dyDescent="0.25">
      <c r="A97" s="32">
        <f>IF(H96&gt;0,93,"")</f>
        <v>93</v>
      </c>
      <c r="B97" s="33">
        <f>IF(A97="","",DATE(YEAR('Mortgage Setup'!B8),MONTH('Mortgage Setup'!B8)+92,DAY('Mortgage Setup'!B8)))</f>
        <v>48823</v>
      </c>
      <c r="C97" s="34">
        <f>IF(A97="",0,IF(H96&lt;=0,0,MIN('Mortgage Setup'!B12,H96*(1+'Mortgage Setup'!B6/12))))</f>
        <v>1769.79</v>
      </c>
      <c r="D97" s="34">
        <f>IF(A97="",0,IF(H96&lt;=0,0,MIN(C97-E97,H96)))</f>
        <v>544.83</v>
      </c>
      <c r="E97" s="34">
        <f>IF(A97="",0,IF(H96&lt;=0,0,ROUND(H96*('Mortgage Setup'!B6/12),2)))</f>
        <v>1224.96</v>
      </c>
      <c r="F97" s="34">
        <f>IF(A97="",0,IF(H96&lt;=0,0,MIN('Mortgage Setup'!B9,MAX(H96-D97,0))))</f>
        <v>200</v>
      </c>
      <c r="G97" s="34">
        <f>IF(A97="",0,C97+F97)</f>
        <v>1969.79</v>
      </c>
      <c r="H97" s="34">
        <f>IF(A97="",0,MAX(H96-D97-F97,0))</f>
        <v>225402.03</v>
      </c>
      <c r="I97" s="34">
        <f>IF(A97="",0,I96+E97)</f>
        <v>128592.50000000003</v>
      </c>
    </row>
    <row r="98" ht="26" customHeight="1" spans="1:9" x14ac:dyDescent="0.25">
      <c r="A98" s="35">
        <f>IF(H97&gt;0,94,"")</f>
        <v>94</v>
      </c>
      <c r="B98" s="36">
        <f>IF(A98="","",DATE(YEAR('Mortgage Setup'!B8),MONTH('Mortgage Setup'!B8)+93,DAY('Mortgage Setup'!B8)))</f>
        <v>48853</v>
      </c>
      <c r="C98" s="37">
        <f>IF(A98="",0,IF(H97&lt;=0,0,MIN('Mortgage Setup'!B12,H97*(1+'Mortgage Setup'!B6/12))))</f>
        <v>1769.79</v>
      </c>
      <c r="D98" s="37">
        <f>IF(A98="",0,IF(H97&lt;=0,0,MIN(C98-E98,H97)))</f>
        <v>548.86</v>
      </c>
      <c r="E98" s="37">
        <f>IF(A98="",0,IF(H97&lt;=0,0,ROUND(H97*('Mortgage Setup'!B6/12),2)))</f>
        <v>1220.93</v>
      </c>
      <c r="F98" s="37">
        <f>IF(A98="",0,IF(H97&lt;=0,0,MIN('Mortgage Setup'!B9,MAX(H97-D98,0))))</f>
        <v>200</v>
      </c>
      <c r="G98" s="37">
        <f>IF(A98="",0,C98+F98)</f>
        <v>1969.79</v>
      </c>
      <c r="H98" s="37">
        <f>IF(A98="",0,MAX(H97-D98-F98,0))</f>
        <v>224653.17</v>
      </c>
      <c r="I98" s="37">
        <f>IF(A98="",0,I97+E98)</f>
        <v>129813.43000000002</v>
      </c>
    </row>
    <row r="99" ht="26" customHeight="1" spans="1:9" x14ac:dyDescent="0.25">
      <c r="A99" s="32">
        <f>IF(H98&gt;0,95,"")</f>
        <v>95</v>
      </c>
      <c r="B99" s="33">
        <f>IF(A99="","",DATE(YEAR('Mortgage Setup'!B8),MONTH('Mortgage Setup'!B8)+94,DAY('Mortgage Setup'!B8)))</f>
        <v>48884</v>
      </c>
      <c r="C99" s="34">
        <f>IF(A99="",0,IF(H98&lt;=0,0,MIN('Mortgage Setup'!B12,H98*(1+'Mortgage Setup'!B6/12))))</f>
        <v>1769.79</v>
      </c>
      <c r="D99" s="34">
        <f>IF(A99="",0,IF(H98&lt;=0,0,MIN(C99-E99,H98)))</f>
        <v>552.92</v>
      </c>
      <c r="E99" s="34">
        <f>IF(A99="",0,IF(H98&lt;=0,0,ROUND(H98*('Mortgage Setup'!B6/12),2)))</f>
        <v>1216.87</v>
      </c>
      <c r="F99" s="34">
        <f>IF(A99="",0,IF(H98&lt;=0,0,MIN('Mortgage Setup'!B9,MAX(H98-D99,0))))</f>
        <v>200</v>
      </c>
      <c r="G99" s="34">
        <f>IF(A99="",0,C99+F99)</f>
        <v>1969.79</v>
      </c>
      <c r="H99" s="34">
        <f>IF(A99="",0,MAX(H98-D99-F99,0))</f>
        <v>223900.25</v>
      </c>
      <c r="I99" s="34">
        <f>IF(A99="",0,I98+E99)</f>
        <v>131030.30000000002</v>
      </c>
    </row>
    <row r="100" ht="26" customHeight="1" spans="1:9" x14ac:dyDescent="0.25">
      <c r="A100" s="35">
        <f>IF(H99&gt;0,96,"")</f>
        <v>96</v>
      </c>
      <c r="B100" s="36">
        <f>IF(A100="","",DATE(YEAR('Mortgage Setup'!B8),MONTH('Mortgage Setup'!B8)+95,DAY('Mortgage Setup'!B8)))</f>
        <v>48914</v>
      </c>
      <c r="C100" s="37">
        <f>IF(A100="",0,IF(H99&lt;=0,0,MIN('Mortgage Setup'!B12,H99*(1+'Mortgage Setup'!B6/12))))</f>
        <v>1769.79</v>
      </c>
      <c r="D100" s="37">
        <f>IF(A100="",0,IF(H99&lt;=0,0,MIN(C100-E100,H99)))</f>
        <v>557</v>
      </c>
      <c r="E100" s="37">
        <f>IF(A100="",0,IF(H99&lt;=0,0,ROUND(H99*('Mortgage Setup'!B6/12),2)))</f>
        <v>1212.79</v>
      </c>
      <c r="F100" s="37">
        <f>IF(A100="",0,IF(H99&lt;=0,0,MIN('Mortgage Setup'!B9,MAX(H99-D100,0))))</f>
        <v>200</v>
      </c>
      <c r="G100" s="37">
        <f>IF(A100="",0,C100+F100)</f>
        <v>1969.79</v>
      </c>
      <c r="H100" s="37">
        <f>IF(A100="",0,MAX(H99-D100-F100,0))</f>
        <v>223143.25</v>
      </c>
      <c r="I100" s="37">
        <f>IF(A100="",0,I99+E100)</f>
        <v>132243.09000000003</v>
      </c>
    </row>
    <row r="101" ht="26" customHeight="1" spans="1:9" x14ac:dyDescent="0.25">
      <c r="A101" s="32">
        <f>IF(H100&gt;0,97,"")</f>
        <v>97</v>
      </c>
      <c r="B101" s="33">
        <f>IF(A101="","",DATE(YEAR('Mortgage Setup'!B8),MONTH('Mortgage Setup'!B8)+96,DAY('Mortgage Setup'!B8)))</f>
        <v>48945</v>
      </c>
      <c r="C101" s="34">
        <f>IF(A101="",0,IF(H100&lt;=0,0,MIN('Mortgage Setup'!B12,H100*(1+'Mortgage Setup'!B6/12))))</f>
        <v>1769.79</v>
      </c>
      <c r="D101" s="34">
        <f>IF(A101="",0,IF(H100&lt;=0,0,MIN(C101-E101,H100)))</f>
        <v>561.1</v>
      </c>
      <c r="E101" s="34">
        <f>IF(A101="",0,IF(H100&lt;=0,0,ROUND(H100*('Mortgage Setup'!B6/12),2)))</f>
        <v>1208.69</v>
      </c>
      <c r="F101" s="34">
        <f>IF(A101="",0,IF(H100&lt;=0,0,MIN('Mortgage Setup'!B9,MAX(H100-D101,0))))</f>
        <v>200</v>
      </c>
      <c r="G101" s="34">
        <f>IF(A101="",0,C101+F101)</f>
        <v>1969.79</v>
      </c>
      <c r="H101" s="34">
        <f>IF(A101="",0,MAX(H100-D101-F101,0))</f>
        <v>222382.15</v>
      </c>
      <c r="I101" s="34">
        <f>IF(A101="",0,I100+E101)</f>
        <v>133451.78000000003</v>
      </c>
    </row>
    <row r="102" ht="26" customHeight="1" spans="1:9" x14ac:dyDescent="0.25">
      <c r="A102" s="35">
        <f>IF(H101&gt;0,98,"")</f>
        <v>98</v>
      </c>
      <c r="B102" s="36">
        <f>IF(A102="","",DATE(YEAR('Mortgage Setup'!B8),MONTH('Mortgage Setup'!B8)+97,DAY('Mortgage Setup'!B8)))</f>
        <v>48976</v>
      </c>
      <c r="C102" s="37">
        <f>IF(A102="",0,IF(H101&lt;=0,0,MIN('Mortgage Setup'!B12,H101*(1+'Mortgage Setup'!B6/12))))</f>
        <v>1769.79</v>
      </c>
      <c r="D102" s="37">
        <f>IF(A102="",0,IF(H101&lt;=0,0,MIN(C102-E102,H101)))</f>
        <v>565.22</v>
      </c>
      <c r="E102" s="37">
        <f>IF(A102="",0,IF(H101&lt;=0,0,ROUND(H101*('Mortgage Setup'!B6/12),2)))</f>
        <v>1204.57</v>
      </c>
      <c r="F102" s="37">
        <f>IF(A102="",0,IF(H101&lt;=0,0,MIN('Mortgage Setup'!B9,MAX(H101-D102,0))))</f>
        <v>200</v>
      </c>
      <c r="G102" s="37">
        <f>IF(A102="",0,C102+F102)</f>
        <v>1969.79</v>
      </c>
      <c r="H102" s="37">
        <f>IF(A102="",0,MAX(H101-D102-F102,0))</f>
        <v>221616.93</v>
      </c>
      <c r="I102" s="37">
        <f>IF(A102="",0,I101+E102)</f>
        <v>134656.35000000003</v>
      </c>
    </row>
    <row r="103" ht="26" customHeight="1" spans="1:9" x14ac:dyDescent="0.25">
      <c r="A103" s="32">
        <f>IF(H102&gt;0,99,"")</f>
        <v>99</v>
      </c>
      <c r="B103" s="33">
        <f>IF(A103="","",DATE(YEAR('Mortgage Setup'!B8),MONTH('Mortgage Setup'!B8)+98,DAY('Mortgage Setup'!B8)))</f>
        <v>49004</v>
      </c>
      <c r="C103" s="34">
        <f>IF(A103="",0,IF(H102&lt;=0,0,MIN('Mortgage Setup'!B12,H102*(1+'Mortgage Setup'!B6/12))))</f>
        <v>1769.79</v>
      </c>
      <c r="D103" s="34">
        <f>IF(A103="",0,IF(H102&lt;=0,0,MIN(C103-E103,H102)))</f>
        <v>569.36</v>
      </c>
      <c r="E103" s="34">
        <f>IF(A103="",0,IF(H102&lt;=0,0,ROUND(H102*('Mortgage Setup'!B6/12),2)))</f>
        <v>1200.43</v>
      </c>
      <c r="F103" s="34">
        <f>IF(A103="",0,IF(H102&lt;=0,0,MIN('Mortgage Setup'!B9,MAX(H102-D103,0))))</f>
        <v>200</v>
      </c>
      <c r="G103" s="34">
        <f>IF(A103="",0,C103+F103)</f>
        <v>1969.79</v>
      </c>
      <c r="H103" s="34">
        <f>IF(A103="",0,MAX(H102-D103-F103,0))</f>
        <v>220847.57</v>
      </c>
      <c r="I103" s="34">
        <f>IF(A103="",0,I102+E103)</f>
        <v>135856.78000000003</v>
      </c>
    </row>
    <row r="104" ht="26" customHeight="1" spans="1:9" x14ac:dyDescent="0.25">
      <c r="A104" s="35">
        <f>IF(H103&gt;0,100,"")</f>
        <v>100</v>
      </c>
      <c r="B104" s="36">
        <f>IF(A104="","",DATE(YEAR('Mortgage Setup'!B8),MONTH('Mortgage Setup'!B8)+99,DAY('Mortgage Setup'!B8)))</f>
        <v>49035</v>
      </c>
      <c r="C104" s="37">
        <f>IF(A104="",0,IF(H103&lt;=0,0,MIN('Mortgage Setup'!B12,H103*(1+'Mortgage Setup'!B6/12))))</f>
        <v>1769.79</v>
      </c>
      <c r="D104" s="37">
        <f>IF(A104="",0,IF(H103&lt;=0,0,MIN(C104-E104,H103)))</f>
        <v>573.53</v>
      </c>
      <c r="E104" s="37">
        <f>IF(A104="",0,IF(H103&lt;=0,0,ROUND(H103*('Mortgage Setup'!B6/12),2)))</f>
        <v>1196.26</v>
      </c>
      <c r="F104" s="37">
        <f>IF(A104="",0,IF(H103&lt;=0,0,MIN('Mortgage Setup'!B9,MAX(H103-D104,0))))</f>
        <v>200</v>
      </c>
      <c r="G104" s="37">
        <f>IF(A104="",0,C104+F104)</f>
        <v>1969.79</v>
      </c>
      <c r="H104" s="37">
        <f>IF(A104="",0,MAX(H103-D104-F104,0))</f>
        <v>220074.04</v>
      </c>
      <c r="I104" s="37">
        <f>IF(A104="",0,I103+E104)</f>
        <v>137053.04000000004</v>
      </c>
    </row>
    <row r="105" ht="26" customHeight="1" spans="1:9" x14ac:dyDescent="0.25">
      <c r="A105" s="32">
        <f>IF(H104&gt;0,101,"")</f>
        <v>101</v>
      </c>
      <c r="B105" s="33">
        <f>IF(A105="","",DATE(YEAR('Mortgage Setup'!B8),MONTH('Mortgage Setup'!B8)+100,DAY('Mortgage Setup'!B8)))</f>
        <v>49065</v>
      </c>
      <c r="C105" s="34">
        <f>IF(A105="",0,IF(H104&lt;=0,0,MIN('Mortgage Setup'!B12,H104*(1+'Mortgage Setup'!B6/12))))</f>
        <v>1769.79</v>
      </c>
      <c r="D105" s="34">
        <f>IF(A105="",0,IF(H104&lt;=0,0,MIN(C105-E105,H104)))</f>
        <v>577.72</v>
      </c>
      <c r="E105" s="34">
        <f>IF(A105="",0,IF(H104&lt;=0,0,ROUND(H104*('Mortgage Setup'!B6/12),2)))</f>
        <v>1192.07</v>
      </c>
      <c r="F105" s="34">
        <f>IF(A105="",0,IF(H104&lt;=0,0,MIN('Mortgage Setup'!B9,MAX(H104-D105,0))))</f>
        <v>200</v>
      </c>
      <c r="G105" s="34">
        <f>IF(A105="",0,C105+F105)</f>
        <v>1969.79</v>
      </c>
      <c r="H105" s="34">
        <f>IF(A105="",0,MAX(H104-D105-F105,0))</f>
        <v>219296.32</v>
      </c>
      <c r="I105" s="34">
        <f>IF(A105="",0,I104+E105)</f>
        <v>138245.11000000004</v>
      </c>
    </row>
    <row r="106" ht="26" customHeight="1" spans="1:9" x14ac:dyDescent="0.25">
      <c r="A106" s="35">
        <f>IF(H105&gt;0,102,"")</f>
        <v>102</v>
      </c>
      <c r="B106" s="36">
        <f>IF(A106="","",DATE(YEAR('Mortgage Setup'!B8),MONTH('Mortgage Setup'!B8)+101,DAY('Mortgage Setup'!B8)))</f>
        <v>49096</v>
      </c>
      <c r="C106" s="37">
        <f>IF(A106="",0,IF(H105&lt;=0,0,MIN('Mortgage Setup'!B12,H105*(1+'Mortgage Setup'!B6/12))))</f>
        <v>1769.79</v>
      </c>
      <c r="D106" s="37">
        <f>IF(A106="",0,IF(H105&lt;=0,0,MIN(C106-E106,H105)))</f>
        <v>581.93</v>
      </c>
      <c r="E106" s="37">
        <f>IF(A106="",0,IF(H105&lt;=0,0,ROUND(H105*('Mortgage Setup'!B6/12),2)))</f>
        <v>1187.86</v>
      </c>
      <c r="F106" s="37">
        <f>IF(A106="",0,IF(H105&lt;=0,0,MIN('Mortgage Setup'!B9,MAX(H105-D106,0))))</f>
        <v>200</v>
      </c>
      <c r="G106" s="37">
        <f>IF(A106="",0,C106+F106)</f>
        <v>1969.79</v>
      </c>
      <c r="H106" s="37">
        <f>IF(A106="",0,MAX(H105-D106-F106,0))</f>
        <v>218514.39</v>
      </c>
      <c r="I106" s="37">
        <f>IF(A106="",0,I105+E106)</f>
        <v>139432.97000000003</v>
      </c>
    </row>
    <row r="107" ht="26" customHeight="1" spans="1:9" x14ac:dyDescent="0.25">
      <c r="A107" s="32">
        <f>IF(H106&gt;0,103,"")</f>
        <v>103</v>
      </c>
      <c r="B107" s="33">
        <f>IF(A107="","",DATE(YEAR('Mortgage Setup'!B8),MONTH('Mortgage Setup'!B8)+102,DAY('Mortgage Setup'!B8)))</f>
        <v>49126</v>
      </c>
      <c r="C107" s="34">
        <f>IF(A107="",0,IF(H106&lt;=0,0,MIN('Mortgage Setup'!B12,H106*(1+'Mortgage Setup'!B6/12))))</f>
        <v>1769.79</v>
      </c>
      <c r="D107" s="34">
        <f>IF(A107="",0,IF(H106&lt;=0,0,MIN(C107-E107,H106)))</f>
        <v>586.17</v>
      </c>
      <c r="E107" s="34">
        <f>IF(A107="",0,IF(H106&lt;=0,0,ROUND(H106*('Mortgage Setup'!B6/12),2)))</f>
        <v>1183.62</v>
      </c>
      <c r="F107" s="34">
        <f>IF(A107="",0,IF(H106&lt;=0,0,MIN('Mortgage Setup'!B9,MAX(H106-D107,0))))</f>
        <v>200</v>
      </c>
      <c r="G107" s="34">
        <f>IF(A107="",0,C107+F107)</f>
        <v>1969.79</v>
      </c>
      <c r="H107" s="34">
        <f>IF(A107="",0,MAX(H106-D107-F107,0))</f>
        <v>217728.22</v>
      </c>
      <c r="I107" s="34">
        <f>IF(A107="",0,I106+E107)</f>
        <v>140616.59000000003</v>
      </c>
    </row>
    <row r="108" ht="26" customHeight="1" spans="1:9" x14ac:dyDescent="0.25">
      <c r="A108" s="35">
        <f>IF(H107&gt;0,104,"")</f>
        <v>104</v>
      </c>
      <c r="B108" s="36">
        <f>IF(A108="","",DATE(YEAR('Mortgage Setup'!B8),MONTH('Mortgage Setup'!B8)+103,DAY('Mortgage Setup'!B8)))</f>
        <v>49157</v>
      </c>
      <c r="C108" s="37">
        <f>IF(A108="",0,IF(H107&lt;=0,0,MIN('Mortgage Setup'!B12,H107*(1+'Mortgage Setup'!B6/12))))</f>
        <v>1769.79</v>
      </c>
      <c r="D108" s="37">
        <f>IF(A108="",0,IF(H107&lt;=0,0,MIN(C108-E108,H107)))</f>
        <v>590.43</v>
      </c>
      <c r="E108" s="37">
        <f>IF(A108="",0,IF(H107&lt;=0,0,ROUND(H107*('Mortgage Setup'!B6/12),2)))</f>
        <v>1179.36</v>
      </c>
      <c r="F108" s="37">
        <f>IF(A108="",0,IF(H107&lt;=0,0,MIN('Mortgage Setup'!B9,MAX(H107-D108,0))))</f>
        <v>200</v>
      </c>
      <c r="G108" s="37">
        <f>IF(A108="",0,C108+F108)</f>
        <v>1969.79</v>
      </c>
      <c r="H108" s="37">
        <f>IF(A108="",0,MAX(H107-D108-F108,0))</f>
        <v>216937.79</v>
      </c>
      <c r="I108" s="37">
        <f>IF(A108="",0,I107+E108)</f>
        <v>141795.95</v>
      </c>
    </row>
    <row r="109" ht="26" customHeight="1" spans="1:9" x14ac:dyDescent="0.25">
      <c r="A109" s="32">
        <f>IF(H108&gt;0,105,"")</f>
        <v>105</v>
      </c>
      <c r="B109" s="33">
        <f>IF(A109="","",DATE(YEAR('Mortgage Setup'!B8),MONTH('Mortgage Setup'!B8)+104,DAY('Mortgage Setup'!B8)))</f>
        <v>49188</v>
      </c>
      <c r="C109" s="34">
        <f>IF(A109="",0,IF(H108&lt;=0,0,MIN('Mortgage Setup'!B12,H108*(1+'Mortgage Setup'!B6/12))))</f>
        <v>1769.79</v>
      </c>
      <c r="D109" s="34">
        <f>IF(A109="",0,IF(H108&lt;=0,0,MIN(C109-E109,H108)))</f>
        <v>594.71</v>
      </c>
      <c r="E109" s="34">
        <f>IF(A109="",0,IF(H108&lt;=0,0,ROUND(H108*('Mortgage Setup'!B6/12),2)))</f>
        <v>1175.08</v>
      </c>
      <c r="F109" s="34">
        <f>IF(A109="",0,IF(H108&lt;=0,0,MIN('Mortgage Setup'!B9,MAX(H108-D109,0))))</f>
        <v>200</v>
      </c>
      <c r="G109" s="34">
        <f>IF(A109="",0,C109+F109)</f>
        <v>1969.79</v>
      </c>
      <c r="H109" s="34">
        <f>IF(A109="",0,MAX(H108-D109-F109,0))</f>
        <v>216143.08</v>
      </c>
      <c r="I109" s="34">
        <f>IF(A109="",0,I108+E109)</f>
        <v>142971.03</v>
      </c>
    </row>
    <row r="110" ht="26" customHeight="1" spans="1:9" x14ac:dyDescent="0.25">
      <c r="A110" s="35">
        <f>IF(H109&gt;0,106,"")</f>
        <v>106</v>
      </c>
      <c r="B110" s="36">
        <f>IF(A110="","",DATE(YEAR('Mortgage Setup'!B8),MONTH('Mortgage Setup'!B8)+105,DAY('Mortgage Setup'!B8)))</f>
        <v>49218</v>
      </c>
      <c r="C110" s="37">
        <f>IF(A110="",0,IF(H109&lt;=0,0,MIN('Mortgage Setup'!B12,H109*(1+'Mortgage Setup'!B6/12))))</f>
        <v>1769.79</v>
      </c>
      <c r="D110" s="37">
        <f>IF(A110="",0,IF(H109&lt;=0,0,MIN(C110-E110,H109)))</f>
        <v>599.01</v>
      </c>
      <c r="E110" s="37">
        <f>IF(A110="",0,IF(H109&lt;=0,0,ROUND(H109*('Mortgage Setup'!B6/12),2)))</f>
        <v>1170.78</v>
      </c>
      <c r="F110" s="37">
        <f>IF(A110="",0,IF(H109&lt;=0,0,MIN('Mortgage Setup'!B9,MAX(H109-D110,0))))</f>
        <v>200</v>
      </c>
      <c r="G110" s="37">
        <f>IF(A110="",0,C110+F110)</f>
        <v>1969.79</v>
      </c>
      <c r="H110" s="37">
        <f>IF(A110="",0,MAX(H109-D110-F110,0))</f>
        <v>215344.07</v>
      </c>
      <c r="I110" s="37">
        <f>IF(A110="",0,I109+E110)</f>
        <v>144141.81</v>
      </c>
    </row>
    <row r="111" ht="26" customHeight="1" spans="1:9" x14ac:dyDescent="0.25">
      <c r="A111" s="32">
        <f>IF(H110&gt;0,107,"")</f>
        <v>107</v>
      </c>
      <c r="B111" s="33">
        <f>IF(A111="","",DATE(YEAR('Mortgage Setup'!B8),MONTH('Mortgage Setup'!B8)+106,DAY('Mortgage Setup'!B8)))</f>
        <v>49249</v>
      </c>
      <c r="C111" s="34">
        <f>IF(A111="",0,IF(H110&lt;=0,0,MIN('Mortgage Setup'!B12,H110*(1+'Mortgage Setup'!B6/12))))</f>
        <v>1769.79</v>
      </c>
      <c r="D111" s="34">
        <f>IF(A111="",0,IF(H110&lt;=0,0,MIN(C111-E111,H110)))</f>
        <v>603.34</v>
      </c>
      <c r="E111" s="34">
        <f>IF(A111="",0,IF(H110&lt;=0,0,ROUND(H110*('Mortgage Setup'!B6/12),2)))</f>
        <v>1166.45</v>
      </c>
      <c r="F111" s="34">
        <f>IF(A111="",0,IF(H110&lt;=0,0,MIN('Mortgage Setup'!B9,MAX(H110-D111,0))))</f>
        <v>200</v>
      </c>
      <c r="G111" s="34">
        <f>IF(A111="",0,C111+F111)</f>
        <v>1969.79</v>
      </c>
      <c r="H111" s="34">
        <f>IF(A111="",0,MAX(H110-D111-F111,0))</f>
        <v>214540.73</v>
      </c>
      <c r="I111" s="34">
        <f>IF(A111="",0,I110+E111)</f>
        <v>145308.26</v>
      </c>
    </row>
    <row r="112" ht="26" customHeight="1" spans="1:9" x14ac:dyDescent="0.25">
      <c r="A112" s="35">
        <f>IF(H111&gt;0,108,"")</f>
        <v>108</v>
      </c>
      <c r="B112" s="36">
        <f>IF(A112="","",DATE(YEAR('Mortgage Setup'!B8),MONTH('Mortgage Setup'!B8)+107,DAY('Mortgage Setup'!B8)))</f>
        <v>49279</v>
      </c>
      <c r="C112" s="37">
        <f>IF(A112="",0,IF(H111&lt;=0,0,MIN('Mortgage Setup'!B12,H111*(1+'Mortgage Setup'!B6/12))))</f>
        <v>1769.79</v>
      </c>
      <c r="D112" s="37">
        <f>IF(A112="",0,IF(H111&lt;=0,0,MIN(C112-E112,H111)))</f>
        <v>607.69</v>
      </c>
      <c r="E112" s="37">
        <f>IF(A112="",0,IF(H111&lt;=0,0,ROUND(H111*('Mortgage Setup'!B6/12),2)))</f>
        <v>1162.1</v>
      </c>
      <c r="F112" s="37">
        <f>IF(A112="",0,IF(H111&lt;=0,0,MIN('Mortgage Setup'!B9,MAX(H111-D112,0))))</f>
        <v>200</v>
      </c>
      <c r="G112" s="37">
        <f>IF(A112="",0,C112+F112)</f>
        <v>1969.79</v>
      </c>
      <c r="H112" s="37">
        <f>IF(A112="",0,MAX(H111-D112-F112,0))</f>
        <v>213733.04</v>
      </c>
      <c r="I112" s="37">
        <f>IF(A112="",0,I111+E112)</f>
        <v>146470.36000000002</v>
      </c>
    </row>
    <row r="113" ht="26" customHeight="1" spans="1:9" x14ac:dyDescent="0.25">
      <c r="A113" s="32">
        <f>IF(H112&gt;0,109,"")</f>
        <v>109</v>
      </c>
      <c r="B113" s="33">
        <f>IF(A113="","",DATE(YEAR('Mortgage Setup'!B8),MONTH('Mortgage Setup'!B8)+108,DAY('Mortgage Setup'!B8)))</f>
        <v>49310</v>
      </c>
      <c r="C113" s="34">
        <f>IF(A113="",0,IF(H112&lt;=0,0,MIN('Mortgage Setup'!B12,H112*(1+'Mortgage Setup'!B6/12))))</f>
        <v>1769.79</v>
      </c>
      <c r="D113" s="34">
        <f>IF(A113="",0,IF(H112&lt;=0,0,MIN(C113-E113,H112)))</f>
        <v>612.07</v>
      </c>
      <c r="E113" s="34">
        <f>IF(A113="",0,IF(H112&lt;=0,0,ROUND(H112*('Mortgage Setup'!B6/12),2)))</f>
        <v>1157.72</v>
      </c>
      <c r="F113" s="34">
        <f>IF(A113="",0,IF(H112&lt;=0,0,MIN('Mortgage Setup'!B9,MAX(H112-D113,0))))</f>
        <v>200</v>
      </c>
      <c r="G113" s="34">
        <f>IF(A113="",0,C113+F113)</f>
        <v>1969.79</v>
      </c>
      <c r="H113" s="34">
        <f>IF(A113="",0,MAX(H112-D113-F113,0))</f>
        <v>212920.97</v>
      </c>
      <c r="I113" s="34">
        <f>IF(A113="",0,I112+E113)</f>
        <v>147628.08000000002</v>
      </c>
    </row>
    <row r="114" ht="26" customHeight="1" spans="1:9" x14ac:dyDescent="0.25">
      <c r="A114" s="35">
        <f>IF(H113&gt;0,110,"")</f>
        <v>110</v>
      </c>
      <c r="B114" s="36">
        <f>IF(A114="","",DATE(YEAR('Mortgage Setup'!B8),MONTH('Mortgage Setup'!B8)+109,DAY('Mortgage Setup'!B8)))</f>
        <v>49341</v>
      </c>
      <c r="C114" s="37">
        <f>IF(A114="",0,IF(H113&lt;=0,0,MIN('Mortgage Setup'!B12,H113*(1+'Mortgage Setup'!B6/12))))</f>
        <v>1769.79</v>
      </c>
      <c r="D114" s="37">
        <f>IF(A114="",0,IF(H113&lt;=0,0,MIN(C114-E114,H113)))</f>
        <v>616.47</v>
      </c>
      <c r="E114" s="37">
        <f>IF(A114="",0,IF(H113&lt;=0,0,ROUND(H113*('Mortgage Setup'!B6/12),2)))</f>
        <v>1153.32</v>
      </c>
      <c r="F114" s="37">
        <f>IF(A114="",0,IF(H113&lt;=0,0,MIN('Mortgage Setup'!B9,MAX(H113-D114,0))))</f>
        <v>200</v>
      </c>
      <c r="G114" s="37">
        <f>IF(A114="",0,C114+F114)</f>
        <v>1969.79</v>
      </c>
      <c r="H114" s="37">
        <f>IF(A114="",0,MAX(H113-D114-F114,0))</f>
        <v>212104.5</v>
      </c>
      <c r="I114" s="37">
        <f>IF(A114="",0,I113+E114)</f>
        <v>148781.40000000002</v>
      </c>
    </row>
    <row r="115" ht="26" customHeight="1" spans="1:9" x14ac:dyDescent="0.25">
      <c r="A115" s="32">
        <f>IF(H114&gt;0,111,"")</f>
        <v>111</v>
      </c>
      <c r="B115" s="33">
        <f>IF(A115="","",DATE(YEAR('Mortgage Setup'!B8),MONTH('Mortgage Setup'!B8)+110,DAY('Mortgage Setup'!B8)))</f>
        <v>49369</v>
      </c>
      <c r="C115" s="34">
        <f>IF(A115="",0,IF(H114&lt;=0,0,MIN('Mortgage Setup'!B12,H114*(1+'Mortgage Setup'!B6/12))))</f>
        <v>1769.79</v>
      </c>
      <c r="D115" s="34">
        <f>IF(A115="",0,IF(H114&lt;=0,0,MIN(C115-E115,H114)))</f>
        <v>620.89</v>
      </c>
      <c r="E115" s="34">
        <f>IF(A115="",0,IF(H114&lt;=0,0,ROUND(H114*('Mortgage Setup'!B6/12),2)))</f>
        <v>1148.9</v>
      </c>
      <c r="F115" s="34">
        <f>IF(A115="",0,IF(H114&lt;=0,0,MIN('Mortgage Setup'!B9,MAX(H114-D115,0))))</f>
        <v>200</v>
      </c>
      <c r="G115" s="34">
        <f>IF(A115="",0,C115+F115)</f>
        <v>1969.79</v>
      </c>
      <c r="H115" s="34">
        <f>IF(A115="",0,MAX(H114-D115-F115,0))</f>
        <v>211283.61</v>
      </c>
      <c r="I115" s="34">
        <f>IF(A115="",0,I114+E115)</f>
        <v>149930.30000000002</v>
      </c>
    </row>
    <row r="116" ht="26" customHeight="1" spans="1:9" x14ac:dyDescent="0.25">
      <c r="A116" s="35">
        <f>IF(H115&gt;0,112,"")</f>
        <v>112</v>
      </c>
      <c r="B116" s="36">
        <f>IF(A116="","",DATE(YEAR('Mortgage Setup'!B8),MONTH('Mortgage Setup'!B8)+111,DAY('Mortgage Setup'!B8)))</f>
        <v>49400</v>
      </c>
      <c r="C116" s="37">
        <f>IF(A116="",0,IF(H115&lt;=0,0,MIN('Mortgage Setup'!B12,H115*(1+'Mortgage Setup'!B6/12))))</f>
        <v>1769.79</v>
      </c>
      <c r="D116" s="37">
        <f>IF(A116="",0,IF(H115&lt;=0,0,MIN(C116-E116,H115)))</f>
        <v>625.34</v>
      </c>
      <c r="E116" s="37">
        <f>IF(A116="",0,IF(H115&lt;=0,0,ROUND(H115*('Mortgage Setup'!B6/12),2)))</f>
        <v>1144.45</v>
      </c>
      <c r="F116" s="37">
        <f>IF(A116="",0,IF(H115&lt;=0,0,MIN('Mortgage Setup'!B9,MAX(H115-D116,0))))</f>
        <v>200</v>
      </c>
      <c r="G116" s="37">
        <f>IF(A116="",0,C116+F116)</f>
        <v>1969.79</v>
      </c>
      <c r="H116" s="37">
        <f>IF(A116="",0,MAX(H115-D116-F116,0))</f>
        <v>210458.27</v>
      </c>
      <c r="I116" s="37">
        <f>IF(A116="",0,I115+E116)</f>
        <v>151074.75000000003</v>
      </c>
    </row>
    <row r="117" ht="26" customHeight="1" spans="1:9" x14ac:dyDescent="0.25">
      <c r="A117" s="32">
        <f>IF(H116&gt;0,113,"")</f>
        <v>113</v>
      </c>
      <c r="B117" s="33">
        <f>IF(A117="","",DATE(YEAR('Mortgage Setup'!B8),MONTH('Mortgage Setup'!B8)+112,DAY('Mortgage Setup'!B8)))</f>
        <v>49430</v>
      </c>
      <c r="C117" s="34">
        <f>IF(A117="",0,IF(H116&lt;=0,0,MIN('Mortgage Setup'!B12,H116*(1+'Mortgage Setup'!B6/12))))</f>
        <v>1769.79</v>
      </c>
      <c r="D117" s="34">
        <f>IF(A117="",0,IF(H116&lt;=0,0,MIN(C117-E117,H116)))</f>
        <v>629.81</v>
      </c>
      <c r="E117" s="34">
        <f>IF(A117="",0,IF(H116&lt;=0,0,ROUND(H116*('Mortgage Setup'!B6/12),2)))</f>
        <v>1139.98</v>
      </c>
      <c r="F117" s="34">
        <f>IF(A117="",0,IF(H116&lt;=0,0,MIN('Mortgage Setup'!B9,MAX(H116-D117,0))))</f>
        <v>200</v>
      </c>
      <c r="G117" s="34">
        <f>IF(A117="",0,C117+F117)</f>
        <v>1969.79</v>
      </c>
      <c r="H117" s="34">
        <f>IF(A117="",0,MAX(H116-D117-F117,0))</f>
        <v>209628.46</v>
      </c>
      <c r="I117" s="34">
        <f>IF(A117="",0,I116+E117)</f>
        <v>152214.73000000004</v>
      </c>
    </row>
    <row r="118" ht="26" customHeight="1" spans="1:9" x14ac:dyDescent="0.25">
      <c r="A118" s="35">
        <f>IF(H117&gt;0,114,"")</f>
        <v>114</v>
      </c>
      <c r="B118" s="36">
        <f>IF(A118="","",DATE(YEAR('Mortgage Setup'!B8),MONTH('Mortgage Setup'!B8)+113,DAY('Mortgage Setup'!B8)))</f>
        <v>49461</v>
      </c>
      <c r="C118" s="37">
        <f>IF(A118="",0,IF(H117&lt;=0,0,MIN('Mortgage Setup'!B12,H117*(1+'Mortgage Setup'!B6/12))))</f>
        <v>1769.79</v>
      </c>
      <c r="D118" s="37">
        <f>IF(A118="",0,IF(H117&lt;=0,0,MIN(C118-E118,H117)))</f>
        <v>634.3</v>
      </c>
      <c r="E118" s="37">
        <f>IF(A118="",0,IF(H117&lt;=0,0,ROUND(H117*('Mortgage Setup'!B6/12),2)))</f>
        <v>1135.49</v>
      </c>
      <c r="F118" s="37">
        <f>IF(A118="",0,IF(H117&lt;=0,0,MIN('Mortgage Setup'!B9,MAX(H117-D118,0))))</f>
        <v>200</v>
      </c>
      <c r="G118" s="37">
        <f>IF(A118="",0,C118+F118)</f>
        <v>1969.79</v>
      </c>
      <c r="H118" s="37">
        <f>IF(A118="",0,MAX(H117-D118-F118,0))</f>
        <v>208794.16</v>
      </c>
      <c r="I118" s="37">
        <f>IF(A118="",0,I117+E118)</f>
        <v>153350.22000000003</v>
      </c>
    </row>
    <row r="119" ht="26" customHeight="1" spans="1:9" x14ac:dyDescent="0.25">
      <c r="A119" s="32">
        <f>IF(H118&gt;0,115,"")</f>
        <v>115</v>
      </c>
      <c r="B119" s="33">
        <f>IF(A119="","",DATE(YEAR('Mortgage Setup'!B8),MONTH('Mortgage Setup'!B8)+114,DAY('Mortgage Setup'!B8)))</f>
        <v>49491</v>
      </c>
      <c r="C119" s="34">
        <f>IF(A119="",0,IF(H118&lt;=0,0,MIN('Mortgage Setup'!B12,H118*(1+'Mortgage Setup'!B6/12))))</f>
        <v>1769.79</v>
      </c>
      <c r="D119" s="34">
        <f>IF(A119="",0,IF(H118&lt;=0,0,MIN(C119-E119,H118)))</f>
        <v>638.82</v>
      </c>
      <c r="E119" s="34">
        <f>IF(A119="",0,IF(H118&lt;=0,0,ROUND(H118*('Mortgage Setup'!B6/12),2)))</f>
        <v>1130.97</v>
      </c>
      <c r="F119" s="34">
        <f>IF(A119="",0,IF(H118&lt;=0,0,MIN('Mortgage Setup'!B9,MAX(H118-D119,0))))</f>
        <v>200</v>
      </c>
      <c r="G119" s="34">
        <f>IF(A119="",0,C119+F119)</f>
        <v>1969.79</v>
      </c>
      <c r="H119" s="34">
        <f>IF(A119="",0,MAX(H118-D119-F119,0))</f>
        <v>207955.34</v>
      </c>
      <c r="I119" s="34">
        <f>IF(A119="",0,I118+E119)</f>
        <v>154481.19000000003</v>
      </c>
    </row>
    <row r="120" ht="26" customHeight="1" spans="1:9" x14ac:dyDescent="0.25">
      <c r="A120" s="35">
        <f>IF(H119&gt;0,116,"")</f>
        <v>116</v>
      </c>
      <c r="B120" s="36">
        <f>IF(A120="","",DATE(YEAR('Mortgage Setup'!B8),MONTH('Mortgage Setup'!B8)+115,DAY('Mortgage Setup'!B8)))</f>
        <v>49522</v>
      </c>
      <c r="C120" s="37">
        <f>IF(A120="",0,IF(H119&lt;=0,0,MIN('Mortgage Setup'!B12,H119*(1+'Mortgage Setup'!B6/12))))</f>
        <v>1769.79</v>
      </c>
      <c r="D120" s="37">
        <f>IF(A120="",0,IF(H119&lt;=0,0,MIN(C120-E120,H119)))</f>
        <v>643.37</v>
      </c>
      <c r="E120" s="37">
        <f>IF(A120="",0,IF(H119&lt;=0,0,ROUND(H119*('Mortgage Setup'!B6/12),2)))</f>
        <v>1126.42</v>
      </c>
      <c r="F120" s="37">
        <f>IF(A120="",0,IF(H119&lt;=0,0,MIN('Mortgage Setup'!B9,MAX(H119-D120,0))))</f>
        <v>200</v>
      </c>
      <c r="G120" s="37">
        <f>IF(A120="",0,C120+F120)</f>
        <v>1969.79</v>
      </c>
      <c r="H120" s="37">
        <f>IF(A120="",0,MAX(H119-D120-F120,0))</f>
        <v>207111.97</v>
      </c>
      <c r="I120" s="37">
        <f>IF(A120="",0,I119+E120)</f>
        <v>155607.61000000004</v>
      </c>
    </row>
    <row r="121" ht="26" customHeight="1" spans="1:9" x14ac:dyDescent="0.25">
      <c r="A121" s="32">
        <f>IF(H120&gt;0,117,"")</f>
        <v>117</v>
      </c>
      <c r="B121" s="33">
        <f>IF(A121="","",DATE(YEAR('Mortgage Setup'!B8),MONTH('Mortgage Setup'!B8)+116,DAY('Mortgage Setup'!B8)))</f>
        <v>49553</v>
      </c>
      <c r="C121" s="34">
        <f>IF(A121="",0,IF(H120&lt;=0,0,MIN('Mortgage Setup'!B12,H120*(1+'Mortgage Setup'!B6/12))))</f>
        <v>1769.79</v>
      </c>
      <c r="D121" s="34">
        <f>IF(A121="",0,IF(H120&lt;=0,0,MIN(C121-E121,H120)))</f>
        <v>647.93</v>
      </c>
      <c r="E121" s="34">
        <f>IF(A121="",0,IF(H120&lt;=0,0,ROUND(H120*('Mortgage Setup'!B6/12),2)))</f>
        <v>1121.86</v>
      </c>
      <c r="F121" s="34">
        <f>IF(A121="",0,IF(H120&lt;=0,0,MIN('Mortgage Setup'!B9,MAX(H120-D121,0))))</f>
        <v>200</v>
      </c>
      <c r="G121" s="34">
        <f>IF(A121="",0,C121+F121)</f>
        <v>1969.79</v>
      </c>
      <c r="H121" s="34">
        <f>IF(A121="",0,MAX(H120-D121-F121,0))</f>
        <v>206264.04</v>
      </c>
      <c r="I121" s="34">
        <f>IF(A121="",0,I120+E121)</f>
        <v>156729.47000000003</v>
      </c>
    </row>
    <row r="122" ht="26" customHeight="1" spans="1:9" x14ac:dyDescent="0.25">
      <c r="A122" s="35">
        <f>IF(H121&gt;0,118,"")</f>
        <v>118</v>
      </c>
      <c r="B122" s="36">
        <f>IF(A122="","",DATE(YEAR('Mortgage Setup'!B8),MONTH('Mortgage Setup'!B8)+117,DAY('Mortgage Setup'!B8)))</f>
        <v>49583</v>
      </c>
      <c r="C122" s="37">
        <f>IF(A122="",0,IF(H121&lt;=0,0,MIN('Mortgage Setup'!B12,H121*(1+'Mortgage Setup'!B6/12))))</f>
        <v>1769.79</v>
      </c>
      <c r="D122" s="37">
        <f>IF(A122="",0,IF(H121&lt;=0,0,MIN(C122-E122,H121)))</f>
        <v>652.53</v>
      </c>
      <c r="E122" s="37">
        <f>IF(A122="",0,IF(H121&lt;=0,0,ROUND(H121*('Mortgage Setup'!B6/12),2)))</f>
        <v>1117.26</v>
      </c>
      <c r="F122" s="37">
        <f>IF(A122="",0,IF(H121&lt;=0,0,MIN('Mortgage Setup'!B9,MAX(H121-D122,0))))</f>
        <v>200</v>
      </c>
      <c r="G122" s="37">
        <f>IF(A122="",0,C122+F122)</f>
        <v>1969.79</v>
      </c>
      <c r="H122" s="37">
        <f>IF(A122="",0,MAX(H121-D122-F122,0))</f>
        <v>205411.51</v>
      </c>
      <c r="I122" s="37">
        <f>IF(A122="",0,I121+E122)</f>
        <v>157846.73000000004</v>
      </c>
    </row>
    <row r="123" ht="26" customHeight="1" spans="1:9" x14ac:dyDescent="0.25">
      <c r="A123" s="32">
        <f>IF(H122&gt;0,119,"")</f>
        <v>119</v>
      </c>
      <c r="B123" s="33">
        <f>IF(A123="","",DATE(YEAR('Mortgage Setup'!B8),MONTH('Mortgage Setup'!B8)+118,DAY('Mortgage Setup'!B8)))</f>
        <v>49614</v>
      </c>
      <c r="C123" s="34">
        <f>IF(A123="",0,IF(H122&lt;=0,0,MIN('Mortgage Setup'!B12,H122*(1+'Mortgage Setup'!B6/12))))</f>
        <v>1769.79</v>
      </c>
      <c r="D123" s="34">
        <f>IF(A123="",0,IF(H122&lt;=0,0,MIN(C123-E123,H122)))</f>
        <v>657.14</v>
      </c>
      <c r="E123" s="34">
        <f>IF(A123="",0,IF(H122&lt;=0,0,ROUND(H122*('Mortgage Setup'!B6/12),2)))</f>
        <v>1112.65</v>
      </c>
      <c r="F123" s="34">
        <f>IF(A123="",0,IF(H122&lt;=0,0,MIN('Mortgage Setup'!B9,MAX(H122-D123,0))))</f>
        <v>200</v>
      </c>
      <c r="G123" s="34">
        <f>IF(A123="",0,C123+F123)</f>
        <v>1969.79</v>
      </c>
      <c r="H123" s="34">
        <f>IF(A123="",0,MAX(H122-D123-F123,0))</f>
        <v>204554.37</v>
      </c>
      <c r="I123" s="34">
        <f>IF(A123="",0,I122+E123)</f>
        <v>158959.38000000003</v>
      </c>
    </row>
    <row r="124" ht="26" customHeight="1" spans="1:9" x14ac:dyDescent="0.25">
      <c r="A124" s="35">
        <f>IF(H123&gt;0,120,"")</f>
        <v>120</v>
      </c>
      <c r="B124" s="36">
        <f>IF(A124="","",DATE(YEAR('Mortgage Setup'!B8),MONTH('Mortgage Setup'!B8)+119,DAY('Mortgage Setup'!B8)))</f>
        <v>49644</v>
      </c>
      <c r="C124" s="37">
        <f>IF(A124="",0,IF(H123&lt;=0,0,MIN('Mortgage Setup'!B12,H123*(1+'Mortgage Setup'!B6/12))))</f>
        <v>1769.79</v>
      </c>
      <c r="D124" s="37">
        <f>IF(A124="",0,IF(H123&lt;=0,0,MIN(C124-E124,H123)))</f>
        <v>661.79</v>
      </c>
      <c r="E124" s="37">
        <f>IF(A124="",0,IF(H123&lt;=0,0,ROUND(H123*('Mortgage Setup'!B6/12),2)))</f>
        <v>1108</v>
      </c>
      <c r="F124" s="37">
        <f>IF(A124="",0,IF(H123&lt;=0,0,MIN('Mortgage Setup'!B9,MAX(H123-D124,0))))</f>
        <v>200</v>
      </c>
      <c r="G124" s="37">
        <f>IF(A124="",0,C124+F124)</f>
        <v>1969.79</v>
      </c>
      <c r="H124" s="37">
        <f>IF(A124="",0,MAX(H123-D124-F124,0))</f>
        <v>203692.58</v>
      </c>
      <c r="I124" s="37">
        <f>IF(A124="",0,I123+E124)</f>
        <v>160067.38000000003</v>
      </c>
    </row>
    <row r="125" ht="26" customHeight="1" spans="1:9" x14ac:dyDescent="0.25">
      <c r="A125" s="32">
        <f>IF(H124&gt;0,121,"")</f>
        <v>121</v>
      </c>
      <c r="B125" s="33">
        <f>IF(A125="","",DATE(YEAR('Mortgage Setup'!B8),MONTH('Mortgage Setup'!B8)+120,DAY('Mortgage Setup'!B8)))</f>
        <v>49675</v>
      </c>
      <c r="C125" s="34">
        <f>IF(A125="",0,IF(H124&lt;=0,0,MIN('Mortgage Setup'!B12,H124*(1+'Mortgage Setup'!B6/12))))</f>
        <v>1769.79</v>
      </c>
      <c r="D125" s="34">
        <f>IF(A125="",0,IF(H124&lt;=0,0,MIN(C125-E125,H124)))</f>
        <v>666.46</v>
      </c>
      <c r="E125" s="34">
        <f>IF(A125="",0,IF(H124&lt;=0,0,ROUND(H124*('Mortgage Setup'!B6/12),2)))</f>
        <v>1103.33</v>
      </c>
      <c r="F125" s="34">
        <f>IF(A125="",0,IF(H124&lt;=0,0,MIN('Mortgage Setup'!B9,MAX(H124-D125,0))))</f>
        <v>200</v>
      </c>
      <c r="G125" s="34">
        <f>IF(A125="",0,C125+F125)</f>
        <v>1969.79</v>
      </c>
      <c r="H125" s="34">
        <f>IF(A125="",0,MAX(H124-D125-F125,0))</f>
        <v>202826.12</v>
      </c>
      <c r="I125" s="34">
        <f>IF(A125="",0,I124+E125)</f>
        <v>161170.71000000002</v>
      </c>
    </row>
    <row r="126" ht="26" customHeight="1" spans="1:9" x14ac:dyDescent="0.25">
      <c r="A126" s="35">
        <f>IF(H125&gt;0,122,"")</f>
        <v>122</v>
      </c>
      <c r="B126" s="36">
        <f>IF(A126="","",DATE(YEAR('Mortgage Setup'!B8),MONTH('Mortgage Setup'!B8)+121,DAY('Mortgage Setup'!B8)))</f>
        <v>49706</v>
      </c>
      <c r="C126" s="37">
        <f>IF(A126="",0,IF(H125&lt;=0,0,MIN('Mortgage Setup'!B12,H125*(1+'Mortgage Setup'!B6/12))))</f>
        <v>1769.79</v>
      </c>
      <c r="D126" s="37">
        <f>IF(A126="",0,IF(H125&lt;=0,0,MIN(C126-E126,H125)))</f>
        <v>671.15</v>
      </c>
      <c r="E126" s="37">
        <f>IF(A126="",0,IF(H125&lt;=0,0,ROUND(H125*('Mortgage Setup'!B6/12),2)))</f>
        <v>1098.64</v>
      </c>
      <c r="F126" s="37">
        <f>IF(A126="",0,IF(H125&lt;=0,0,MIN('Mortgage Setup'!B9,MAX(H125-D126,0))))</f>
        <v>200</v>
      </c>
      <c r="G126" s="37">
        <f>IF(A126="",0,C126+F126)</f>
        <v>1969.79</v>
      </c>
      <c r="H126" s="37">
        <f>IF(A126="",0,MAX(H125-D126-F126,0))</f>
        <v>201954.97</v>
      </c>
      <c r="I126" s="37">
        <f>IF(A126="",0,I125+E126)</f>
        <v>162269.35000000003</v>
      </c>
    </row>
    <row r="127" ht="26" customHeight="1" spans="1:9" x14ac:dyDescent="0.25">
      <c r="A127" s="32">
        <f>IF(H126&gt;0,123,"")</f>
        <v>123</v>
      </c>
      <c r="B127" s="33">
        <f>IF(A127="","",DATE(YEAR('Mortgage Setup'!B8),MONTH('Mortgage Setup'!B8)+122,DAY('Mortgage Setup'!B8)))</f>
        <v>49735</v>
      </c>
      <c r="C127" s="34">
        <f>IF(A127="",0,IF(H126&lt;=0,0,MIN('Mortgage Setup'!B12,H126*(1+'Mortgage Setup'!B6/12))))</f>
        <v>1769.79</v>
      </c>
      <c r="D127" s="34">
        <f>IF(A127="",0,IF(H126&lt;=0,0,MIN(C127-E127,H126)))</f>
        <v>675.87</v>
      </c>
      <c r="E127" s="34">
        <f>IF(A127="",0,IF(H126&lt;=0,0,ROUND(H126*('Mortgage Setup'!B6/12),2)))</f>
        <v>1093.92</v>
      </c>
      <c r="F127" s="34">
        <f>IF(A127="",0,IF(H126&lt;=0,0,MIN('Mortgage Setup'!B9,MAX(H126-D127,0))))</f>
        <v>200</v>
      </c>
      <c r="G127" s="34">
        <f>IF(A127="",0,C127+F127)</f>
        <v>1969.79</v>
      </c>
      <c r="H127" s="34">
        <f>IF(A127="",0,MAX(H126-D127-F127,0))</f>
        <v>201079.1</v>
      </c>
      <c r="I127" s="34">
        <f>IF(A127="",0,I126+E127)</f>
        <v>163363.27000000005</v>
      </c>
    </row>
    <row r="128" ht="26" customHeight="1" spans="1:9" x14ac:dyDescent="0.25">
      <c r="A128" s="35">
        <f>IF(H127&gt;0,124,"")</f>
        <v>124</v>
      </c>
      <c r="B128" s="36">
        <f>IF(A128="","",DATE(YEAR('Mortgage Setup'!B8),MONTH('Mortgage Setup'!B8)+123,DAY('Mortgage Setup'!B8)))</f>
        <v>49766</v>
      </c>
      <c r="C128" s="37">
        <f>IF(A128="",0,IF(H127&lt;=0,0,MIN('Mortgage Setup'!B12,H127*(1+'Mortgage Setup'!B6/12))))</f>
        <v>1769.79</v>
      </c>
      <c r="D128" s="37">
        <f>IF(A128="",0,IF(H127&lt;=0,0,MIN(C128-E128,H127)))</f>
        <v>680.61</v>
      </c>
      <c r="E128" s="37">
        <f>IF(A128="",0,IF(H127&lt;=0,0,ROUND(H127*('Mortgage Setup'!B6/12),2)))</f>
        <v>1089.18</v>
      </c>
      <c r="F128" s="37">
        <f>IF(A128="",0,IF(H127&lt;=0,0,MIN('Mortgage Setup'!B9,MAX(H127-D128,0))))</f>
        <v>200</v>
      </c>
      <c r="G128" s="37">
        <f>IF(A128="",0,C128+F128)</f>
        <v>1969.79</v>
      </c>
      <c r="H128" s="37">
        <f>IF(A128="",0,MAX(H127-D128-F128,0))</f>
        <v>200198.49</v>
      </c>
      <c r="I128" s="37">
        <f>IF(A128="",0,I127+E128)</f>
        <v>164452.45000000004</v>
      </c>
    </row>
    <row r="129" ht="26" customHeight="1" spans="1:9" x14ac:dyDescent="0.25">
      <c r="A129" s="32">
        <f>IF(H128&gt;0,125,"")</f>
        <v>125</v>
      </c>
      <c r="B129" s="33">
        <f>IF(A129="","",DATE(YEAR('Mortgage Setup'!B8),MONTH('Mortgage Setup'!B8)+124,DAY('Mortgage Setup'!B8)))</f>
        <v>49796</v>
      </c>
      <c r="C129" s="34">
        <f>IF(A129="",0,IF(H128&lt;=0,0,MIN('Mortgage Setup'!B12,H128*(1+'Mortgage Setup'!B6/12))))</f>
        <v>1769.79</v>
      </c>
      <c r="D129" s="34">
        <f>IF(A129="",0,IF(H128&lt;=0,0,MIN(C129-E129,H128)))</f>
        <v>685.38</v>
      </c>
      <c r="E129" s="34">
        <f>IF(A129="",0,IF(H128&lt;=0,0,ROUND(H128*('Mortgage Setup'!B6/12),2)))</f>
        <v>1084.41</v>
      </c>
      <c r="F129" s="34">
        <f>IF(A129="",0,IF(H128&lt;=0,0,MIN('Mortgage Setup'!B9,MAX(H128-D129,0))))</f>
        <v>200</v>
      </c>
      <c r="G129" s="34">
        <f>IF(A129="",0,C129+F129)</f>
        <v>1969.79</v>
      </c>
      <c r="H129" s="34">
        <f>IF(A129="",0,MAX(H128-D129-F129,0))</f>
        <v>199313.11</v>
      </c>
      <c r="I129" s="34">
        <f>IF(A129="",0,I128+E129)</f>
        <v>165536.86000000004</v>
      </c>
    </row>
    <row r="130" ht="26" customHeight="1" spans="1:9" x14ac:dyDescent="0.25">
      <c r="A130" s="35">
        <f>IF(H129&gt;0,126,"")</f>
        <v>126</v>
      </c>
      <c r="B130" s="36">
        <f>IF(A130="","",DATE(YEAR('Mortgage Setup'!B8),MONTH('Mortgage Setup'!B8)+125,DAY('Mortgage Setup'!B8)))</f>
        <v>49827</v>
      </c>
      <c r="C130" s="37">
        <f>IF(A130="",0,IF(H129&lt;=0,0,MIN('Mortgage Setup'!B12,H129*(1+'Mortgage Setup'!B6/12))))</f>
        <v>1769.79</v>
      </c>
      <c r="D130" s="37">
        <f>IF(A130="",0,IF(H129&lt;=0,0,MIN(C130-E130,H129)))</f>
        <v>690.18</v>
      </c>
      <c r="E130" s="37">
        <f>IF(A130="",0,IF(H129&lt;=0,0,ROUND(H129*('Mortgage Setup'!B6/12),2)))</f>
        <v>1079.61</v>
      </c>
      <c r="F130" s="37">
        <f>IF(A130="",0,IF(H129&lt;=0,0,MIN('Mortgage Setup'!B9,MAX(H129-D130,0))))</f>
        <v>200</v>
      </c>
      <c r="G130" s="37">
        <f>IF(A130="",0,C130+F130)</f>
        <v>1969.79</v>
      </c>
      <c r="H130" s="37">
        <f>IF(A130="",0,MAX(H129-D130-F130,0))</f>
        <v>198422.93</v>
      </c>
      <c r="I130" s="37">
        <f>IF(A130="",0,I129+E130)</f>
        <v>166616.47000000003</v>
      </c>
    </row>
    <row r="131" ht="26" customHeight="1" spans="1:9" x14ac:dyDescent="0.25">
      <c r="A131" s="32">
        <f>IF(H130&gt;0,127,"")</f>
        <v>127</v>
      </c>
      <c r="B131" s="33">
        <f>IF(A131="","",DATE(YEAR('Mortgage Setup'!B8),MONTH('Mortgage Setup'!B8)+126,DAY('Mortgage Setup'!B8)))</f>
        <v>49857</v>
      </c>
      <c r="C131" s="34">
        <f>IF(A131="",0,IF(H130&lt;=0,0,MIN('Mortgage Setup'!B12,H130*(1+'Mortgage Setup'!B6/12))))</f>
        <v>1769.79</v>
      </c>
      <c r="D131" s="34">
        <f>IF(A131="",0,IF(H130&lt;=0,0,MIN(C131-E131,H130)))</f>
        <v>695</v>
      </c>
      <c r="E131" s="34">
        <f>IF(A131="",0,IF(H130&lt;=0,0,ROUND(H130*('Mortgage Setup'!B6/12),2)))</f>
        <v>1074.79</v>
      </c>
      <c r="F131" s="34">
        <f>IF(A131="",0,IF(H130&lt;=0,0,MIN('Mortgage Setup'!B9,MAX(H130-D131,0))))</f>
        <v>200</v>
      </c>
      <c r="G131" s="34">
        <f>IF(A131="",0,C131+F131)</f>
        <v>1969.79</v>
      </c>
      <c r="H131" s="34">
        <f>IF(A131="",0,MAX(H130-D131-F131,0))</f>
        <v>197527.93</v>
      </c>
      <c r="I131" s="34">
        <f>IF(A131="",0,I130+E131)</f>
        <v>167691.26000000004</v>
      </c>
    </row>
    <row r="132" ht="26" customHeight="1" spans="1:9" x14ac:dyDescent="0.25">
      <c r="A132" s="35">
        <f>IF(H131&gt;0,128,"")</f>
        <v>128</v>
      </c>
      <c r="B132" s="36">
        <f>IF(A132="","",DATE(YEAR('Mortgage Setup'!B8),MONTH('Mortgage Setup'!B8)+127,DAY('Mortgage Setup'!B8)))</f>
        <v>49888</v>
      </c>
      <c r="C132" s="37">
        <f>IF(A132="",0,IF(H131&lt;=0,0,MIN('Mortgage Setup'!B12,H131*(1+'Mortgage Setup'!B6/12))))</f>
        <v>1769.79</v>
      </c>
      <c r="D132" s="37">
        <f>IF(A132="",0,IF(H131&lt;=0,0,MIN(C132-E132,H131)))</f>
        <v>699.85</v>
      </c>
      <c r="E132" s="37">
        <f>IF(A132="",0,IF(H131&lt;=0,0,ROUND(H131*('Mortgage Setup'!B6/12),2)))</f>
        <v>1069.94</v>
      </c>
      <c r="F132" s="37">
        <f>IF(A132="",0,IF(H131&lt;=0,0,MIN('Mortgage Setup'!B9,MAX(H131-D132,0))))</f>
        <v>200</v>
      </c>
      <c r="G132" s="37">
        <f>IF(A132="",0,C132+F132)</f>
        <v>1969.79</v>
      </c>
      <c r="H132" s="37">
        <f>IF(A132="",0,MAX(H131-D132-F132,0))</f>
        <v>196628.08</v>
      </c>
      <c r="I132" s="37">
        <f>IF(A132="",0,I131+E132)</f>
        <v>168761.20000000004</v>
      </c>
    </row>
    <row r="133" ht="26" customHeight="1" spans="1:9" x14ac:dyDescent="0.25">
      <c r="A133" s="32">
        <f>IF(H132&gt;0,129,"")</f>
        <v>129</v>
      </c>
      <c r="B133" s="33">
        <f>IF(A133="","",DATE(YEAR('Mortgage Setup'!B8),MONTH('Mortgage Setup'!B8)+128,DAY('Mortgage Setup'!B8)))</f>
        <v>49919</v>
      </c>
      <c r="C133" s="34">
        <f>IF(A133="",0,IF(H132&lt;=0,0,MIN('Mortgage Setup'!B12,H132*(1+'Mortgage Setup'!B6/12))))</f>
        <v>1769.79</v>
      </c>
      <c r="D133" s="34">
        <f>IF(A133="",0,IF(H132&lt;=0,0,MIN(C133-E133,H132)))</f>
        <v>704.72</v>
      </c>
      <c r="E133" s="34">
        <f>IF(A133="",0,IF(H132&lt;=0,0,ROUND(H132*('Mortgage Setup'!B6/12),2)))</f>
        <v>1065.07</v>
      </c>
      <c r="F133" s="34">
        <f>IF(A133="",0,IF(H132&lt;=0,0,MIN('Mortgage Setup'!B9,MAX(H132-D133,0))))</f>
        <v>200</v>
      </c>
      <c r="G133" s="34">
        <f>IF(A133="",0,C133+F133)</f>
        <v>1969.79</v>
      </c>
      <c r="H133" s="34">
        <f>IF(A133="",0,MAX(H132-D133-F133,0))</f>
        <v>195723.36</v>
      </c>
      <c r="I133" s="34">
        <f>IF(A133="",0,I132+E133)</f>
        <v>169826.27000000005</v>
      </c>
    </row>
    <row r="134" ht="26" customHeight="1" spans="1:9" x14ac:dyDescent="0.25">
      <c r="A134" s="35">
        <f>IF(H133&gt;0,130,"")</f>
        <v>130</v>
      </c>
      <c r="B134" s="36">
        <f>IF(A134="","",DATE(YEAR('Mortgage Setup'!B8),MONTH('Mortgage Setup'!B8)+129,DAY('Mortgage Setup'!B8)))</f>
        <v>49949</v>
      </c>
      <c r="C134" s="37">
        <f>IF(A134="",0,IF(H133&lt;=0,0,MIN('Mortgage Setup'!B12,H133*(1+'Mortgage Setup'!B6/12))))</f>
        <v>1769.79</v>
      </c>
      <c r="D134" s="37">
        <f>IF(A134="",0,IF(H133&lt;=0,0,MIN(C134-E134,H133)))</f>
        <v>709.62</v>
      </c>
      <c r="E134" s="37">
        <f>IF(A134="",0,IF(H133&lt;=0,0,ROUND(H133*('Mortgage Setup'!B6/12),2)))</f>
        <v>1060.17</v>
      </c>
      <c r="F134" s="37">
        <f>IF(A134="",0,IF(H133&lt;=0,0,MIN('Mortgage Setup'!B9,MAX(H133-D134,0))))</f>
        <v>200</v>
      </c>
      <c r="G134" s="37">
        <f>IF(A134="",0,C134+F134)</f>
        <v>1969.79</v>
      </c>
      <c r="H134" s="37">
        <f>IF(A134="",0,MAX(H133-D134-F134,0))</f>
        <v>194813.74</v>
      </c>
      <c r="I134" s="37">
        <f>IF(A134="",0,I133+E134)</f>
        <v>170886.44000000006</v>
      </c>
    </row>
    <row r="135" ht="26" customHeight="1" spans="1:9" x14ac:dyDescent="0.25">
      <c r="A135" s="32">
        <f>IF(H134&gt;0,131,"")</f>
        <v>131</v>
      </c>
      <c r="B135" s="33">
        <f>IF(A135="","",DATE(YEAR('Mortgage Setup'!B8),MONTH('Mortgage Setup'!B8)+130,DAY('Mortgage Setup'!B8)))</f>
        <v>49980</v>
      </c>
      <c r="C135" s="34">
        <f>IF(A135="",0,IF(H134&lt;=0,0,MIN('Mortgage Setup'!B12,H134*(1+'Mortgage Setup'!B6/12))))</f>
        <v>1769.79</v>
      </c>
      <c r="D135" s="34">
        <f>IF(A135="",0,IF(H134&lt;=0,0,MIN(C135-E135,H134)))</f>
        <v>714.55</v>
      </c>
      <c r="E135" s="34">
        <f>IF(A135="",0,IF(H134&lt;=0,0,ROUND(H134*('Mortgage Setup'!B6/12),2)))</f>
        <v>1055.24</v>
      </c>
      <c r="F135" s="34">
        <f>IF(A135="",0,IF(H134&lt;=0,0,MIN('Mortgage Setup'!B9,MAX(H134-D135,0))))</f>
        <v>200</v>
      </c>
      <c r="G135" s="34">
        <f>IF(A135="",0,C135+F135)</f>
        <v>1969.79</v>
      </c>
      <c r="H135" s="34">
        <f>IF(A135="",0,MAX(H134-D135-F135,0))</f>
        <v>193899.19</v>
      </c>
      <c r="I135" s="34">
        <f>IF(A135="",0,I134+E135)</f>
        <v>171941.68000000005</v>
      </c>
    </row>
    <row r="136" ht="26" customHeight="1" spans="1:9" x14ac:dyDescent="0.25">
      <c r="A136" s="35">
        <f>IF(H135&gt;0,132,"")</f>
        <v>132</v>
      </c>
      <c r="B136" s="36">
        <f>IF(A136="","",DATE(YEAR('Mortgage Setup'!B8),MONTH('Mortgage Setup'!B8)+131,DAY('Mortgage Setup'!B8)))</f>
        <v>50010</v>
      </c>
      <c r="C136" s="37">
        <f>IF(A136="",0,IF(H135&lt;=0,0,MIN('Mortgage Setup'!B12,H135*(1+'Mortgage Setup'!B6/12))))</f>
        <v>1769.79</v>
      </c>
      <c r="D136" s="37">
        <f>IF(A136="",0,IF(H135&lt;=0,0,MIN(C136-E136,H135)))</f>
        <v>719.5</v>
      </c>
      <c r="E136" s="37">
        <f>IF(A136="",0,IF(H135&lt;=0,0,ROUND(H135*('Mortgage Setup'!B6/12),2)))</f>
        <v>1050.29</v>
      </c>
      <c r="F136" s="37">
        <f>IF(A136="",0,IF(H135&lt;=0,0,MIN('Mortgage Setup'!B9,MAX(H135-D136,0))))</f>
        <v>200</v>
      </c>
      <c r="G136" s="37">
        <f>IF(A136="",0,C136+F136)</f>
        <v>1969.79</v>
      </c>
      <c r="H136" s="37">
        <f>IF(A136="",0,MAX(H135-D136-F136,0))</f>
        <v>192979.69</v>
      </c>
      <c r="I136" s="37">
        <f>IF(A136="",0,I135+E136)</f>
        <v>172991.97000000006</v>
      </c>
    </row>
    <row r="137" ht="26" customHeight="1" spans="1:9" x14ac:dyDescent="0.25">
      <c r="A137" s="32">
        <f>IF(H136&gt;0,133,"")</f>
        <v>133</v>
      </c>
      <c r="B137" s="33">
        <f>IF(A137="","",DATE(YEAR('Mortgage Setup'!B8),MONTH('Mortgage Setup'!B8)+132,DAY('Mortgage Setup'!B8)))</f>
        <v>50041</v>
      </c>
      <c r="C137" s="34">
        <f>IF(A137="",0,IF(H136&lt;=0,0,MIN('Mortgage Setup'!B12,H136*(1+'Mortgage Setup'!B6/12))))</f>
        <v>1769.79</v>
      </c>
      <c r="D137" s="34">
        <f>IF(A137="",0,IF(H136&lt;=0,0,MIN(C137-E137,H136)))</f>
        <v>724.48</v>
      </c>
      <c r="E137" s="34">
        <f>IF(A137="",0,IF(H136&lt;=0,0,ROUND(H136*('Mortgage Setup'!B6/12),2)))</f>
        <v>1045.31</v>
      </c>
      <c r="F137" s="34">
        <f>IF(A137="",0,IF(H136&lt;=0,0,MIN('Mortgage Setup'!B9,MAX(H136-D137,0))))</f>
        <v>200</v>
      </c>
      <c r="G137" s="34">
        <f>IF(A137="",0,C137+F137)</f>
        <v>1969.79</v>
      </c>
      <c r="H137" s="34">
        <f>IF(A137="",0,MAX(H136-D137-F137,0))</f>
        <v>192055.21</v>
      </c>
      <c r="I137" s="34">
        <f>IF(A137="",0,I136+E137)</f>
        <v>174037.28000000006</v>
      </c>
    </row>
    <row r="138" ht="26" customHeight="1" spans="1:9" x14ac:dyDescent="0.25">
      <c r="A138" s="35">
        <f>IF(H137&gt;0,134,"")</f>
        <v>134</v>
      </c>
      <c r="B138" s="36">
        <f>IF(A138="","",DATE(YEAR('Mortgage Setup'!B8),MONTH('Mortgage Setup'!B8)+133,DAY('Mortgage Setup'!B8)))</f>
        <v>50072</v>
      </c>
      <c r="C138" s="37">
        <f>IF(A138="",0,IF(H137&lt;=0,0,MIN('Mortgage Setup'!B12,H137*(1+'Mortgage Setup'!B6/12))))</f>
        <v>1769.79</v>
      </c>
      <c r="D138" s="37">
        <f>IF(A138="",0,IF(H137&lt;=0,0,MIN(C138-E138,H137)))</f>
        <v>729.49</v>
      </c>
      <c r="E138" s="37">
        <f>IF(A138="",0,IF(H137&lt;=0,0,ROUND(H137*('Mortgage Setup'!B6/12),2)))</f>
        <v>1040.3</v>
      </c>
      <c r="F138" s="37">
        <f>IF(A138="",0,IF(H137&lt;=0,0,MIN('Mortgage Setup'!B9,MAX(H137-D138,0))))</f>
        <v>200</v>
      </c>
      <c r="G138" s="37">
        <f>IF(A138="",0,C138+F138)</f>
        <v>1969.79</v>
      </c>
      <c r="H138" s="37">
        <f>IF(A138="",0,MAX(H137-D138-F138,0))</f>
        <v>191125.72</v>
      </c>
      <c r="I138" s="37">
        <f>IF(A138="",0,I137+E138)</f>
        <v>175077.58000000005</v>
      </c>
    </row>
    <row r="139" ht="26" customHeight="1" spans="1:9" x14ac:dyDescent="0.25">
      <c r="A139" s="32">
        <f>IF(H138&gt;0,135,"")</f>
        <v>135</v>
      </c>
      <c r="B139" s="33">
        <f>IF(A139="","",DATE(YEAR('Mortgage Setup'!B8),MONTH('Mortgage Setup'!B8)+134,DAY('Mortgage Setup'!B8)))</f>
        <v>50100</v>
      </c>
      <c r="C139" s="34">
        <f>IF(A139="",0,IF(H138&lt;=0,0,MIN('Mortgage Setup'!B12,H138*(1+'Mortgage Setup'!B6/12))))</f>
        <v>1769.79</v>
      </c>
      <c r="D139" s="34">
        <f>IF(A139="",0,IF(H138&lt;=0,0,MIN(C139-E139,H138)))</f>
        <v>734.53</v>
      </c>
      <c r="E139" s="34">
        <f>IF(A139="",0,IF(H138&lt;=0,0,ROUND(H138*('Mortgage Setup'!B6/12),2)))</f>
        <v>1035.26</v>
      </c>
      <c r="F139" s="34">
        <f>IF(A139="",0,IF(H138&lt;=0,0,MIN('Mortgage Setup'!B9,MAX(H138-D139,0))))</f>
        <v>200</v>
      </c>
      <c r="G139" s="34">
        <f>IF(A139="",0,C139+F139)</f>
        <v>1969.79</v>
      </c>
      <c r="H139" s="34">
        <f>IF(A139="",0,MAX(H138-D139-F139,0))</f>
        <v>190191.19</v>
      </c>
      <c r="I139" s="34">
        <f>IF(A139="",0,I138+E139)</f>
        <v>176112.84000000005</v>
      </c>
    </row>
    <row r="140" ht="26" customHeight="1" spans="1:9" x14ac:dyDescent="0.25">
      <c r="A140" s="35">
        <f>IF(H139&gt;0,136,"")</f>
        <v>136</v>
      </c>
      <c r="B140" s="36">
        <f>IF(A140="","",DATE(YEAR('Mortgage Setup'!B8),MONTH('Mortgage Setup'!B8)+135,DAY('Mortgage Setup'!B8)))</f>
        <v>50131</v>
      </c>
      <c r="C140" s="37">
        <f>IF(A140="",0,IF(H139&lt;=0,0,MIN('Mortgage Setup'!B12,H139*(1+'Mortgage Setup'!B6/12))))</f>
        <v>1769.79</v>
      </c>
      <c r="D140" s="37">
        <f>IF(A140="",0,IF(H139&lt;=0,0,MIN(C140-E140,H139)))</f>
        <v>739.59</v>
      </c>
      <c r="E140" s="37">
        <f>IF(A140="",0,IF(H139&lt;=0,0,ROUND(H139*('Mortgage Setup'!B6/12),2)))</f>
        <v>1030.2</v>
      </c>
      <c r="F140" s="37">
        <f>IF(A140="",0,IF(H139&lt;=0,0,MIN('Mortgage Setup'!B9,MAX(H139-D140,0))))</f>
        <v>200</v>
      </c>
      <c r="G140" s="37">
        <f>IF(A140="",0,C140+F140)</f>
        <v>1969.79</v>
      </c>
      <c r="H140" s="37">
        <f>IF(A140="",0,MAX(H139-D140-F140,0))</f>
        <v>189251.6</v>
      </c>
      <c r="I140" s="37">
        <f>IF(A140="",0,I139+E140)</f>
        <v>177143.04000000007</v>
      </c>
    </row>
    <row r="141" ht="26" customHeight="1" spans="1:9" x14ac:dyDescent="0.25">
      <c r="A141" s="32">
        <f>IF(H140&gt;0,137,"")</f>
        <v>137</v>
      </c>
      <c r="B141" s="33">
        <f>IF(A141="","",DATE(YEAR('Mortgage Setup'!B8),MONTH('Mortgage Setup'!B8)+136,DAY('Mortgage Setup'!B8)))</f>
        <v>50161</v>
      </c>
      <c r="C141" s="34">
        <f>IF(A141="",0,IF(H140&lt;=0,0,MIN('Mortgage Setup'!B12,H140*(1+'Mortgage Setup'!B6/12))))</f>
        <v>1769.79</v>
      </c>
      <c r="D141" s="34">
        <f>IF(A141="",0,IF(H140&lt;=0,0,MIN(C141-E141,H140)))</f>
        <v>744.68</v>
      </c>
      <c r="E141" s="34">
        <f>IF(A141="",0,IF(H140&lt;=0,0,ROUND(H140*('Mortgage Setup'!B6/12),2)))</f>
        <v>1025.11</v>
      </c>
      <c r="F141" s="34">
        <f>IF(A141="",0,IF(H140&lt;=0,0,MIN('Mortgage Setup'!B9,MAX(H140-D141,0))))</f>
        <v>200</v>
      </c>
      <c r="G141" s="34">
        <f>IF(A141="",0,C141+F141)</f>
        <v>1969.79</v>
      </c>
      <c r="H141" s="34">
        <f>IF(A141="",0,MAX(H140-D141-F141,0))</f>
        <v>188306.92</v>
      </c>
      <c r="I141" s="34">
        <f>IF(A141="",0,I140+E141)</f>
        <v>178168.15000000005</v>
      </c>
    </row>
    <row r="142" ht="26" customHeight="1" spans="1:9" x14ac:dyDescent="0.25">
      <c r="A142" s="35">
        <f>IF(H141&gt;0,138,"")</f>
        <v>138</v>
      </c>
      <c r="B142" s="36">
        <f>IF(A142="","",DATE(YEAR('Mortgage Setup'!B8),MONTH('Mortgage Setup'!B8)+137,DAY('Mortgage Setup'!B8)))</f>
        <v>50192</v>
      </c>
      <c r="C142" s="37">
        <f>IF(A142="",0,IF(H141&lt;=0,0,MIN('Mortgage Setup'!B12,H141*(1+'Mortgage Setup'!B6/12))))</f>
        <v>1769.79</v>
      </c>
      <c r="D142" s="37">
        <f>IF(A142="",0,IF(H141&lt;=0,0,MIN(C142-E142,H141)))</f>
        <v>749.79</v>
      </c>
      <c r="E142" s="37">
        <f>IF(A142="",0,IF(H141&lt;=0,0,ROUND(H141*('Mortgage Setup'!B6/12),2)))</f>
        <v>1020</v>
      </c>
      <c r="F142" s="37">
        <f>IF(A142="",0,IF(H141&lt;=0,0,MIN('Mortgage Setup'!B9,MAX(H141-D142,0))))</f>
        <v>200</v>
      </c>
      <c r="G142" s="37">
        <f>IF(A142="",0,C142+F142)</f>
        <v>1969.79</v>
      </c>
      <c r="H142" s="37">
        <f>IF(A142="",0,MAX(H141-D142-F142,0))</f>
        <v>187357.13</v>
      </c>
      <c r="I142" s="37">
        <f>IF(A142="",0,I141+E142)</f>
        <v>179188.15000000005</v>
      </c>
    </row>
    <row r="143" ht="26" customHeight="1" spans="1:9" x14ac:dyDescent="0.25">
      <c r="A143" s="32">
        <f>IF(H142&gt;0,139,"")</f>
        <v>139</v>
      </c>
      <c r="B143" s="33">
        <f>IF(A143="","",DATE(YEAR('Mortgage Setup'!B8),MONTH('Mortgage Setup'!B8)+138,DAY('Mortgage Setup'!B8)))</f>
        <v>50222</v>
      </c>
      <c r="C143" s="34">
        <f>IF(A143="",0,IF(H142&lt;=0,0,MIN('Mortgage Setup'!B12,H142*(1+'Mortgage Setup'!B6/12))))</f>
        <v>1769.79</v>
      </c>
      <c r="D143" s="34">
        <f>IF(A143="",0,IF(H142&lt;=0,0,MIN(C143-E143,H142)))</f>
        <v>754.94</v>
      </c>
      <c r="E143" s="34">
        <f>IF(A143="",0,IF(H142&lt;=0,0,ROUND(H142*('Mortgage Setup'!B6/12),2)))</f>
        <v>1014.85</v>
      </c>
      <c r="F143" s="34">
        <f>IF(A143="",0,IF(H142&lt;=0,0,MIN('Mortgage Setup'!B9,MAX(H142-D143,0))))</f>
        <v>200</v>
      </c>
      <c r="G143" s="34">
        <f>IF(A143="",0,C143+F143)</f>
        <v>1969.79</v>
      </c>
      <c r="H143" s="34">
        <f>IF(A143="",0,MAX(H142-D143-F143,0))</f>
        <v>186402.19</v>
      </c>
      <c r="I143" s="34">
        <f>IF(A143="",0,I142+E143)</f>
        <v>180203.00000000006</v>
      </c>
    </row>
    <row r="144" ht="26" customHeight="1" spans="1:9" x14ac:dyDescent="0.25">
      <c r="A144" s="35">
        <f>IF(H143&gt;0,140,"")</f>
        <v>140</v>
      </c>
      <c r="B144" s="36">
        <f>IF(A144="","",DATE(YEAR('Mortgage Setup'!B8),MONTH('Mortgage Setup'!B8)+139,DAY('Mortgage Setup'!B8)))</f>
        <v>50253</v>
      </c>
      <c r="C144" s="37">
        <f>IF(A144="",0,IF(H143&lt;=0,0,MIN('Mortgage Setup'!B12,H143*(1+'Mortgage Setup'!B6/12))))</f>
        <v>1769.79</v>
      </c>
      <c r="D144" s="37">
        <f>IF(A144="",0,IF(H143&lt;=0,0,MIN(C144-E144,H143)))</f>
        <v>760.11</v>
      </c>
      <c r="E144" s="37">
        <f>IF(A144="",0,IF(H143&lt;=0,0,ROUND(H143*('Mortgage Setup'!B6/12),2)))</f>
        <v>1009.68</v>
      </c>
      <c r="F144" s="37">
        <f>IF(A144="",0,IF(H143&lt;=0,0,MIN('Mortgage Setup'!B9,MAX(H143-D144,0))))</f>
        <v>200</v>
      </c>
      <c r="G144" s="37">
        <f>IF(A144="",0,C144+F144)</f>
        <v>1969.79</v>
      </c>
      <c r="H144" s="37">
        <f>IF(A144="",0,MAX(H143-D144-F144,0))</f>
        <v>185442.08</v>
      </c>
      <c r="I144" s="37">
        <f>IF(A144="",0,I143+E144)</f>
        <v>181212.68000000005</v>
      </c>
    </row>
    <row r="145" ht="26" customHeight="1" spans="1:9" x14ac:dyDescent="0.25">
      <c r="A145" s="32">
        <f>IF(H144&gt;0,141,"")</f>
        <v>141</v>
      </c>
      <c r="B145" s="33">
        <f>IF(A145="","",DATE(YEAR('Mortgage Setup'!B8),MONTH('Mortgage Setup'!B8)+140,DAY('Mortgage Setup'!B8)))</f>
        <v>50284</v>
      </c>
      <c r="C145" s="34">
        <f>IF(A145="",0,IF(H144&lt;=0,0,MIN('Mortgage Setup'!B12,H144*(1+'Mortgage Setup'!B6/12))))</f>
        <v>1769.79</v>
      </c>
      <c r="D145" s="34">
        <f>IF(A145="",0,IF(H144&lt;=0,0,MIN(C145-E145,H144)))</f>
        <v>765.31</v>
      </c>
      <c r="E145" s="34">
        <f>IF(A145="",0,IF(H144&lt;=0,0,ROUND(H144*('Mortgage Setup'!B6/12),2)))</f>
        <v>1004.48</v>
      </c>
      <c r="F145" s="34">
        <f>IF(A145="",0,IF(H144&lt;=0,0,MIN('Mortgage Setup'!B9,MAX(H144-D145,0))))</f>
        <v>200</v>
      </c>
      <c r="G145" s="34">
        <f>IF(A145="",0,C145+F145)</f>
        <v>1969.79</v>
      </c>
      <c r="H145" s="34">
        <f>IF(A145="",0,MAX(H144-D145-F145,0))</f>
        <v>184476.77</v>
      </c>
      <c r="I145" s="34">
        <f>IF(A145="",0,I144+E145)</f>
        <v>182217.16000000006</v>
      </c>
    </row>
    <row r="146" ht="26" customHeight="1" spans="1:9" x14ac:dyDescent="0.25">
      <c r="A146" s="35">
        <f>IF(H145&gt;0,142,"")</f>
        <v>142</v>
      </c>
      <c r="B146" s="36">
        <f>IF(A146="","",DATE(YEAR('Mortgage Setup'!B8),MONTH('Mortgage Setup'!B8)+141,DAY('Mortgage Setup'!B8)))</f>
        <v>50314</v>
      </c>
      <c r="C146" s="37">
        <f>IF(A146="",0,IF(H145&lt;=0,0,MIN('Mortgage Setup'!B12,H145*(1+'Mortgage Setup'!B6/12))))</f>
        <v>1769.79</v>
      </c>
      <c r="D146" s="37">
        <f>IF(A146="",0,IF(H145&lt;=0,0,MIN(C146-E146,H145)))</f>
        <v>770.54</v>
      </c>
      <c r="E146" s="37">
        <f>IF(A146="",0,IF(H145&lt;=0,0,ROUND(H145*('Mortgage Setup'!B6/12),2)))</f>
        <v>999.25</v>
      </c>
      <c r="F146" s="37">
        <f>IF(A146="",0,IF(H145&lt;=0,0,MIN('Mortgage Setup'!B9,MAX(H145-D146,0))))</f>
        <v>200</v>
      </c>
      <c r="G146" s="37">
        <f>IF(A146="",0,C146+F146)</f>
        <v>1969.79</v>
      </c>
      <c r="H146" s="37">
        <f>IF(A146="",0,MAX(H145-D146-F146,0))</f>
        <v>183506.23</v>
      </c>
      <c r="I146" s="37">
        <f>IF(A146="",0,I145+E146)</f>
        <v>183216.41000000006</v>
      </c>
    </row>
    <row r="147" ht="26" customHeight="1" spans="1:9" x14ac:dyDescent="0.25">
      <c r="A147" s="32">
        <f>IF(H146&gt;0,143,"")</f>
        <v>143</v>
      </c>
      <c r="B147" s="33">
        <f>IF(A147="","",DATE(YEAR('Mortgage Setup'!B8),MONTH('Mortgage Setup'!B8)+142,DAY('Mortgage Setup'!B8)))</f>
        <v>50345</v>
      </c>
      <c r="C147" s="34">
        <f>IF(A147="",0,IF(H146&lt;=0,0,MIN('Mortgage Setup'!B12,H146*(1+'Mortgage Setup'!B6/12))))</f>
        <v>1769.79</v>
      </c>
      <c r="D147" s="34">
        <f>IF(A147="",0,IF(H146&lt;=0,0,MIN(C147-E147,H146)))</f>
        <v>775.8</v>
      </c>
      <c r="E147" s="34">
        <f>IF(A147="",0,IF(H146&lt;=0,0,ROUND(H146*('Mortgage Setup'!B6/12),2)))</f>
        <v>993.99</v>
      </c>
      <c r="F147" s="34">
        <f>IF(A147="",0,IF(H146&lt;=0,0,MIN('Mortgage Setup'!B9,MAX(H146-D147,0))))</f>
        <v>200</v>
      </c>
      <c r="G147" s="34">
        <f>IF(A147="",0,C147+F147)</f>
        <v>1969.79</v>
      </c>
      <c r="H147" s="34">
        <f>IF(A147="",0,MAX(H146-D147-F147,0))</f>
        <v>182530.43</v>
      </c>
      <c r="I147" s="34">
        <f>IF(A147="",0,I146+E147)</f>
        <v>184210.40000000005</v>
      </c>
    </row>
    <row r="148" ht="26" customHeight="1" spans="1:9" x14ac:dyDescent="0.25">
      <c r="A148" s="35">
        <f>IF(H147&gt;0,144,"")</f>
        <v>144</v>
      </c>
      <c r="B148" s="36">
        <f>IF(A148="","",DATE(YEAR('Mortgage Setup'!B8),MONTH('Mortgage Setup'!B8)+143,DAY('Mortgage Setup'!B8)))</f>
        <v>50375</v>
      </c>
      <c r="C148" s="37">
        <f>IF(A148="",0,IF(H147&lt;=0,0,MIN('Mortgage Setup'!B12,H147*(1+'Mortgage Setup'!B6/12))))</f>
        <v>1769.79</v>
      </c>
      <c r="D148" s="37">
        <f>IF(A148="",0,IF(H147&lt;=0,0,MIN(C148-E148,H147)))</f>
        <v>781.08</v>
      </c>
      <c r="E148" s="37">
        <f>IF(A148="",0,IF(H147&lt;=0,0,ROUND(H147*('Mortgage Setup'!B6/12),2)))</f>
        <v>988.71</v>
      </c>
      <c r="F148" s="37">
        <f>IF(A148="",0,IF(H147&lt;=0,0,MIN('Mortgage Setup'!B9,MAX(H147-D148,0))))</f>
        <v>200</v>
      </c>
      <c r="G148" s="37">
        <f>IF(A148="",0,C148+F148)</f>
        <v>1969.79</v>
      </c>
      <c r="H148" s="37">
        <f>IF(A148="",0,MAX(H147-D148-F148,0))</f>
        <v>181549.35</v>
      </c>
      <c r="I148" s="37">
        <f>IF(A148="",0,I147+E148)</f>
        <v>185199.11000000004</v>
      </c>
    </row>
    <row r="149" ht="26" customHeight="1" spans="1:9" x14ac:dyDescent="0.25">
      <c r="A149" s="32">
        <f>IF(H148&gt;0,145,"")</f>
        <v>145</v>
      </c>
      <c r="B149" s="33">
        <f>IF(A149="","",DATE(YEAR('Mortgage Setup'!B8),MONTH('Mortgage Setup'!B8)+144,DAY('Mortgage Setup'!B8)))</f>
        <v>50406</v>
      </c>
      <c r="C149" s="34">
        <f>IF(A149="",0,IF(H148&lt;=0,0,MIN('Mortgage Setup'!B12,H148*(1+'Mortgage Setup'!B6/12))))</f>
        <v>1769.79</v>
      </c>
      <c r="D149" s="34">
        <f>IF(A149="",0,IF(H148&lt;=0,0,MIN(C149-E149,H148)))</f>
        <v>786.4</v>
      </c>
      <c r="E149" s="34">
        <f>IF(A149="",0,IF(H148&lt;=0,0,ROUND(H148*('Mortgage Setup'!B6/12),2)))</f>
        <v>983.39</v>
      </c>
      <c r="F149" s="34">
        <f>IF(A149="",0,IF(H148&lt;=0,0,MIN('Mortgage Setup'!B9,MAX(H148-D149,0))))</f>
        <v>200</v>
      </c>
      <c r="G149" s="34">
        <f>IF(A149="",0,C149+F149)</f>
        <v>1969.79</v>
      </c>
      <c r="H149" s="34">
        <f>IF(A149="",0,MAX(H148-D149-F149,0))</f>
        <v>180562.95</v>
      </c>
      <c r="I149" s="34">
        <f>IF(A149="",0,I148+E149)</f>
        <v>186182.50000000006</v>
      </c>
    </row>
    <row r="150" ht="26" customHeight="1" spans="1:9" x14ac:dyDescent="0.25">
      <c r="A150" s="35">
        <f>IF(H149&gt;0,146,"")</f>
        <v>146</v>
      </c>
      <c r="B150" s="36">
        <f>IF(A150="","",DATE(YEAR('Mortgage Setup'!B8),MONTH('Mortgage Setup'!B8)+145,DAY('Mortgage Setup'!B8)))</f>
        <v>50437</v>
      </c>
      <c r="C150" s="37">
        <f>IF(A150="",0,IF(H149&lt;=0,0,MIN('Mortgage Setup'!B12,H149*(1+'Mortgage Setup'!B6/12))))</f>
        <v>1769.79</v>
      </c>
      <c r="D150" s="37">
        <f>IF(A150="",0,IF(H149&lt;=0,0,MIN(C150-E150,H149)))</f>
        <v>791.74</v>
      </c>
      <c r="E150" s="37">
        <f>IF(A150="",0,IF(H149&lt;=0,0,ROUND(H149*('Mortgage Setup'!B6/12),2)))</f>
        <v>978.05</v>
      </c>
      <c r="F150" s="37">
        <f>IF(A150="",0,IF(H149&lt;=0,0,MIN('Mortgage Setup'!B9,MAX(H149-D150,0))))</f>
        <v>200</v>
      </c>
      <c r="G150" s="37">
        <f>IF(A150="",0,C150+F150)</f>
        <v>1969.79</v>
      </c>
      <c r="H150" s="37">
        <f>IF(A150="",0,MAX(H149-D150-F150,0))</f>
        <v>179571.21</v>
      </c>
      <c r="I150" s="37">
        <f>IF(A150="",0,I149+E150)</f>
        <v>187160.55000000005</v>
      </c>
    </row>
    <row r="151" ht="26" customHeight="1" spans="1:9" x14ac:dyDescent="0.25">
      <c r="A151" s="32">
        <f>IF(H150&gt;0,147,"")</f>
        <v>147</v>
      </c>
      <c r="B151" s="33">
        <f>IF(A151="","",DATE(YEAR('Mortgage Setup'!B8),MONTH('Mortgage Setup'!B8)+146,DAY('Mortgage Setup'!B8)))</f>
        <v>50465</v>
      </c>
      <c r="C151" s="34">
        <f>IF(A151="",0,IF(H150&lt;=0,0,MIN('Mortgage Setup'!B12,H150*(1+'Mortgage Setup'!B6/12))))</f>
        <v>1769.79</v>
      </c>
      <c r="D151" s="34">
        <f>IF(A151="",0,IF(H150&lt;=0,0,MIN(C151-E151,H150)))</f>
        <v>797.11</v>
      </c>
      <c r="E151" s="34">
        <f>IF(A151="",0,IF(H150&lt;=0,0,ROUND(H150*('Mortgage Setup'!B6/12),2)))</f>
        <v>972.68</v>
      </c>
      <c r="F151" s="34">
        <f>IF(A151="",0,IF(H150&lt;=0,0,MIN('Mortgage Setup'!B9,MAX(H150-D151,0))))</f>
        <v>200</v>
      </c>
      <c r="G151" s="34">
        <f>IF(A151="",0,C151+F151)</f>
        <v>1969.79</v>
      </c>
      <c r="H151" s="34">
        <f>IF(A151="",0,MAX(H150-D151-F151,0))</f>
        <v>178574.1</v>
      </c>
      <c r="I151" s="34">
        <f>IF(A151="",0,I150+E151)</f>
        <v>188133.23000000004</v>
      </c>
    </row>
    <row r="152" ht="26" customHeight="1" spans="1:9" x14ac:dyDescent="0.25">
      <c r="A152" s="35">
        <f>IF(H151&gt;0,148,"")</f>
        <v>148</v>
      </c>
      <c r="B152" s="36">
        <f>IF(A152="","",DATE(YEAR('Mortgage Setup'!B8),MONTH('Mortgage Setup'!B8)+147,DAY('Mortgage Setup'!B8)))</f>
        <v>50496</v>
      </c>
      <c r="C152" s="37">
        <f>IF(A152="",0,IF(H151&lt;=0,0,MIN('Mortgage Setup'!B12,H151*(1+'Mortgage Setup'!B6/12))))</f>
        <v>1769.79</v>
      </c>
      <c r="D152" s="37">
        <f>IF(A152="",0,IF(H151&lt;=0,0,MIN(C152-E152,H151)))</f>
        <v>802.51</v>
      </c>
      <c r="E152" s="37">
        <f>IF(A152="",0,IF(H151&lt;=0,0,ROUND(H151*('Mortgage Setup'!B6/12),2)))</f>
        <v>967.28</v>
      </c>
      <c r="F152" s="37">
        <f>IF(A152="",0,IF(H151&lt;=0,0,MIN('Mortgage Setup'!B9,MAX(H151-D152,0))))</f>
        <v>200</v>
      </c>
      <c r="G152" s="37">
        <f>IF(A152="",0,C152+F152)</f>
        <v>1969.79</v>
      </c>
      <c r="H152" s="37">
        <f>IF(A152="",0,MAX(H151-D152-F152,0))</f>
        <v>177571.59</v>
      </c>
      <c r="I152" s="37">
        <f>IF(A152="",0,I151+E152)</f>
        <v>189100.51000000004</v>
      </c>
    </row>
    <row r="153" ht="26" customHeight="1" spans="1:9" x14ac:dyDescent="0.25">
      <c r="A153" s="32">
        <f>IF(H152&gt;0,149,"")</f>
        <v>149</v>
      </c>
      <c r="B153" s="33">
        <f>IF(A153="","",DATE(YEAR('Mortgage Setup'!B8),MONTH('Mortgage Setup'!B8)+148,DAY('Mortgage Setup'!B8)))</f>
        <v>50526</v>
      </c>
      <c r="C153" s="34">
        <f>IF(A153="",0,IF(H152&lt;=0,0,MIN('Mortgage Setup'!B12,H152*(1+'Mortgage Setup'!B6/12))))</f>
        <v>1769.79</v>
      </c>
      <c r="D153" s="34">
        <f>IF(A153="",0,IF(H152&lt;=0,0,MIN(C153-E153,H152)))</f>
        <v>807.94</v>
      </c>
      <c r="E153" s="34">
        <f>IF(A153="",0,IF(H152&lt;=0,0,ROUND(H152*('Mortgage Setup'!B6/12),2)))</f>
        <v>961.85</v>
      </c>
      <c r="F153" s="34">
        <f>IF(A153="",0,IF(H152&lt;=0,0,MIN('Mortgage Setup'!B9,MAX(H152-D153,0))))</f>
        <v>200</v>
      </c>
      <c r="G153" s="34">
        <f>IF(A153="",0,C153+F153)</f>
        <v>1969.79</v>
      </c>
      <c r="H153" s="34">
        <f>IF(A153="",0,MAX(H152-D153-F153,0))</f>
        <v>176563.65</v>
      </c>
      <c r="I153" s="34">
        <f>IF(A153="",0,I152+E153)</f>
        <v>190062.36000000004</v>
      </c>
    </row>
    <row r="154" ht="26" customHeight="1" spans="1:9" x14ac:dyDescent="0.25">
      <c r="A154" s="35">
        <f>IF(H153&gt;0,150,"")</f>
        <v>150</v>
      </c>
      <c r="B154" s="36">
        <f>IF(A154="","",DATE(YEAR('Mortgage Setup'!B8),MONTH('Mortgage Setup'!B8)+149,DAY('Mortgage Setup'!B8)))</f>
        <v>50557</v>
      </c>
      <c r="C154" s="37">
        <f>IF(A154="",0,IF(H153&lt;=0,0,MIN('Mortgage Setup'!B12,H153*(1+'Mortgage Setup'!B6/12))))</f>
        <v>1769.79</v>
      </c>
      <c r="D154" s="37">
        <f>IF(A154="",0,IF(H153&lt;=0,0,MIN(C154-E154,H153)))</f>
        <v>813.4</v>
      </c>
      <c r="E154" s="37">
        <f>IF(A154="",0,IF(H153&lt;=0,0,ROUND(H153*('Mortgage Setup'!B6/12),2)))</f>
        <v>956.39</v>
      </c>
      <c r="F154" s="37">
        <f>IF(A154="",0,IF(H153&lt;=0,0,MIN('Mortgage Setup'!B9,MAX(H153-D154,0))))</f>
        <v>200</v>
      </c>
      <c r="G154" s="37">
        <f>IF(A154="",0,C154+F154)</f>
        <v>1969.79</v>
      </c>
      <c r="H154" s="37">
        <f>IF(A154="",0,MAX(H153-D154-F154,0))</f>
        <v>175550.25</v>
      </c>
      <c r="I154" s="37">
        <f>IF(A154="",0,I153+E154)</f>
        <v>191018.75000000006</v>
      </c>
    </row>
    <row r="155" ht="26" customHeight="1" spans="1:9" x14ac:dyDescent="0.25">
      <c r="A155" s="32">
        <f>IF(H154&gt;0,151,"")</f>
        <v>151</v>
      </c>
      <c r="B155" s="33">
        <f>IF(A155="","",DATE(YEAR('Mortgage Setup'!B8),MONTH('Mortgage Setup'!B8)+150,DAY('Mortgage Setup'!B8)))</f>
        <v>50587</v>
      </c>
      <c r="C155" s="34">
        <f>IF(A155="",0,IF(H154&lt;=0,0,MIN('Mortgage Setup'!B12,H154*(1+'Mortgage Setup'!B6/12))))</f>
        <v>1769.79</v>
      </c>
      <c r="D155" s="34">
        <f>IF(A155="",0,IF(H154&lt;=0,0,MIN(C155-E155,H154)))</f>
        <v>818.89</v>
      </c>
      <c r="E155" s="34">
        <f>IF(A155="",0,IF(H154&lt;=0,0,ROUND(H154*('Mortgage Setup'!B6/12),2)))</f>
        <v>950.9</v>
      </c>
      <c r="F155" s="34">
        <f>IF(A155="",0,IF(H154&lt;=0,0,MIN('Mortgage Setup'!B9,MAX(H154-D155,0))))</f>
        <v>200</v>
      </c>
      <c r="G155" s="34">
        <f>IF(A155="",0,C155+F155)</f>
        <v>1969.79</v>
      </c>
      <c r="H155" s="34">
        <f>IF(A155="",0,MAX(H154-D155-F155,0))</f>
        <v>174531.36</v>
      </c>
      <c r="I155" s="34">
        <f>IF(A155="",0,I154+E155)</f>
        <v>191969.65000000005</v>
      </c>
    </row>
    <row r="156" ht="26" customHeight="1" spans="1:9" x14ac:dyDescent="0.25">
      <c r="A156" s="35">
        <f>IF(H155&gt;0,152,"")</f>
        <v>152</v>
      </c>
      <c r="B156" s="36">
        <f>IF(A156="","",DATE(YEAR('Mortgage Setup'!B8),MONTH('Mortgage Setup'!B8)+151,DAY('Mortgage Setup'!B8)))</f>
        <v>50618</v>
      </c>
      <c r="C156" s="37">
        <f>IF(A156="",0,IF(H155&lt;=0,0,MIN('Mortgage Setup'!B12,H155*(1+'Mortgage Setup'!B6/12))))</f>
        <v>1769.79</v>
      </c>
      <c r="D156" s="37">
        <f>IF(A156="",0,IF(H155&lt;=0,0,MIN(C156-E156,H155)))</f>
        <v>824.41</v>
      </c>
      <c r="E156" s="37">
        <f>IF(A156="",0,IF(H155&lt;=0,0,ROUND(H155*('Mortgage Setup'!B6/12),2)))</f>
        <v>945.38</v>
      </c>
      <c r="F156" s="37">
        <f>IF(A156="",0,IF(H155&lt;=0,0,MIN('Mortgage Setup'!B9,MAX(H155-D156,0))))</f>
        <v>200</v>
      </c>
      <c r="G156" s="37">
        <f>IF(A156="",0,C156+F156)</f>
        <v>1969.79</v>
      </c>
      <c r="H156" s="37">
        <f>IF(A156="",0,MAX(H155-D156-F156,0))</f>
        <v>173506.95</v>
      </c>
      <c r="I156" s="37">
        <f>IF(A156="",0,I155+E156)</f>
        <v>192915.03000000006</v>
      </c>
    </row>
    <row r="157" ht="26" customHeight="1" spans="1:9" x14ac:dyDescent="0.25">
      <c r="A157" s="32">
        <f>IF(H156&gt;0,153,"")</f>
        <v>153</v>
      </c>
      <c r="B157" s="33">
        <f>IF(A157="","",DATE(YEAR('Mortgage Setup'!B8),MONTH('Mortgage Setup'!B8)+152,DAY('Mortgage Setup'!B8)))</f>
        <v>50649</v>
      </c>
      <c r="C157" s="34">
        <f>IF(A157="",0,IF(H156&lt;=0,0,MIN('Mortgage Setup'!B12,H156*(1+'Mortgage Setup'!B6/12))))</f>
        <v>1769.79</v>
      </c>
      <c r="D157" s="34">
        <f>IF(A157="",0,IF(H156&lt;=0,0,MIN(C157-E157,H156)))</f>
        <v>829.96</v>
      </c>
      <c r="E157" s="34">
        <f>IF(A157="",0,IF(H156&lt;=0,0,ROUND(H156*('Mortgage Setup'!B6/12),2)))</f>
        <v>939.83</v>
      </c>
      <c r="F157" s="34">
        <f>IF(A157="",0,IF(H156&lt;=0,0,MIN('Mortgage Setup'!B9,MAX(H156-D157,0))))</f>
        <v>200</v>
      </c>
      <c r="G157" s="34">
        <f>IF(A157="",0,C157+F157)</f>
        <v>1969.79</v>
      </c>
      <c r="H157" s="34">
        <f>IF(A157="",0,MAX(H156-D157-F157,0))</f>
        <v>172476.99</v>
      </c>
      <c r="I157" s="34">
        <f>IF(A157="",0,I156+E157)</f>
        <v>193854.86000000004</v>
      </c>
    </row>
    <row r="158" ht="26" customHeight="1" spans="1:9" x14ac:dyDescent="0.25">
      <c r="A158" s="35">
        <f>IF(H157&gt;0,154,"")</f>
        <v>154</v>
      </c>
      <c r="B158" s="36">
        <f>IF(A158="","",DATE(YEAR('Mortgage Setup'!B8),MONTH('Mortgage Setup'!B8)+153,DAY('Mortgage Setup'!B8)))</f>
        <v>50679</v>
      </c>
      <c r="C158" s="37">
        <f>IF(A158="",0,IF(H157&lt;=0,0,MIN('Mortgage Setup'!B12,H157*(1+'Mortgage Setup'!B6/12))))</f>
        <v>1769.79</v>
      </c>
      <c r="D158" s="37">
        <f>IF(A158="",0,IF(H157&lt;=0,0,MIN(C158-E158,H157)))</f>
        <v>835.54</v>
      </c>
      <c r="E158" s="37">
        <f>IF(A158="",0,IF(H157&lt;=0,0,ROUND(H157*('Mortgage Setup'!B6/12),2)))</f>
        <v>934.25</v>
      </c>
      <c r="F158" s="37">
        <f>IF(A158="",0,IF(H157&lt;=0,0,MIN('Mortgage Setup'!B9,MAX(H157-D158,0))))</f>
        <v>200</v>
      </c>
      <c r="G158" s="37">
        <f>IF(A158="",0,C158+F158)</f>
        <v>1969.79</v>
      </c>
      <c r="H158" s="37">
        <f>IF(A158="",0,MAX(H157-D158-F158,0))</f>
        <v>171441.45</v>
      </c>
      <c r="I158" s="37">
        <f>IF(A158="",0,I157+E158)</f>
        <v>194789.11000000004</v>
      </c>
    </row>
    <row r="159" ht="26" customHeight="1" spans="1:9" x14ac:dyDescent="0.25">
      <c r="A159" s="32">
        <f>IF(H158&gt;0,155,"")</f>
        <v>155</v>
      </c>
      <c r="B159" s="33">
        <f>IF(A159="","",DATE(YEAR('Mortgage Setup'!B8),MONTH('Mortgage Setup'!B8)+154,DAY('Mortgage Setup'!B8)))</f>
        <v>50710</v>
      </c>
      <c r="C159" s="34">
        <f>IF(A159="",0,IF(H158&lt;=0,0,MIN('Mortgage Setup'!B12,H158*(1+'Mortgage Setup'!B6/12))))</f>
        <v>1769.79</v>
      </c>
      <c r="D159" s="34">
        <f>IF(A159="",0,IF(H158&lt;=0,0,MIN(C159-E159,H158)))</f>
        <v>841.15</v>
      </c>
      <c r="E159" s="34">
        <f>IF(A159="",0,IF(H158&lt;=0,0,ROUND(H158*('Mortgage Setup'!B6/12),2)))</f>
        <v>928.64</v>
      </c>
      <c r="F159" s="34">
        <f>IF(A159="",0,IF(H158&lt;=0,0,MIN('Mortgage Setup'!B9,MAX(H158-D159,0))))</f>
        <v>200</v>
      </c>
      <c r="G159" s="34">
        <f>IF(A159="",0,C159+F159)</f>
        <v>1969.79</v>
      </c>
      <c r="H159" s="34">
        <f>IF(A159="",0,MAX(H158-D159-F159,0))</f>
        <v>170400.3</v>
      </c>
      <c r="I159" s="34">
        <f>IF(A159="",0,I158+E159)</f>
        <v>195717.75000000006</v>
      </c>
    </row>
    <row r="160" ht="26" customHeight="1" spans="1:9" x14ac:dyDescent="0.25">
      <c r="A160" s="35">
        <f>IF(H159&gt;0,156,"")</f>
        <v>156</v>
      </c>
      <c r="B160" s="36">
        <f>IF(A160="","",DATE(YEAR('Mortgage Setup'!B8),MONTH('Mortgage Setup'!B8)+155,DAY('Mortgage Setup'!B8)))</f>
        <v>50740</v>
      </c>
      <c r="C160" s="37">
        <f>IF(A160="",0,IF(H159&lt;=0,0,MIN('Mortgage Setup'!B12,H159*(1+'Mortgage Setup'!B6/12))))</f>
        <v>1769.79</v>
      </c>
      <c r="D160" s="37">
        <f>IF(A160="",0,IF(H159&lt;=0,0,MIN(C160-E160,H159)))</f>
        <v>846.79</v>
      </c>
      <c r="E160" s="37">
        <f>IF(A160="",0,IF(H159&lt;=0,0,ROUND(H159*('Mortgage Setup'!B6/12),2)))</f>
        <v>923</v>
      </c>
      <c r="F160" s="37">
        <f>IF(A160="",0,IF(H159&lt;=0,0,MIN('Mortgage Setup'!B9,MAX(H159-D160,0))))</f>
        <v>200</v>
      </c>
      <c r="G160" s="37">
        <f>IF(A160="",0,C160+F160)</f>
        <v>1969.79</v>
      </c>
      <c r="H160" s="37">
        <f>IF(A160="",0,MAX(H159-D160-F160,0))</f>
        <v>169353.51</v>
      </c>
      <c r="I160" s="37">
        <f>IF(A160="",0,I159+E160)</f>
        <v>196640.75000000006</v>
      </c>
    </row>
    <row r="161" ht="26" customHeight="1" spans="1:9" x14ac:dyDescent="0.25">
      <c r="A161" s="32">
        <f>IF(H160&gt;0,157,"")</f>
        <v>157</v>
      </c>
      <c r="B161" s="33">
        <f>IF(A161="","",DATE(YEAR('Mortgage Setup'!B8),MONTH('Mortgage Setup'!B8)+156,DAY('Mortgage Setup'!B8)))</f>
        <v>50771</v>
      </c>
      <c r="C161" s="34">
        <f>IF(A161="",0,IF(H160&lt;=0,0,MIN('Mortgage Setup'!B12,H160*(1+'Mortgage Setup'!B6/12))))</f>
        <v>1769.79</v>
      </c>
      <c r="D161" s="34">
        <f>IF(A161="",0,IF(H160&lt;=0,0,MIN(C161-E161,H160)))</f>
        <v>852.46</v>
      </c>
      <c r="E161" s="34">
        <f>IF(A161="",0,IF(H160&lt;=0,0,ROUND(H160*('Mortgage Setup'!B6/12),2)))</f>
        <v>917.33</v>
      </c>
      <c r="F161" s="34">
        <f>IF(A161="",0,IF(H160&lt;=0,0,MIN('Mortgage Setup'!B9,MAX(H160-D161,0))))</f>
        <v>200</v>
      </c>
      <c r="G161" s="34">
        <f>IF(A161="",0,C161+F161)</f>
        <v>1969.79</v>
      </c>
      <c r="H161" s="34">
        <f>IF(A161="",0,MAX(H160-D161-F161,0))</f>
        <v>168301.05</v>
      </c>
      <c r="I161" s="34">
        <f>IF(A161="",0,I160+E161)</f>
        <v>197558.08000000005</v>
      </c>
    </row>
    <row r="162" ht="26" customHeight="1" spans="1:9" x14ac:dyDescent="0.25">
      <c r="A162" s="35">
        <f>IF(H161&gt;0,158,"")</f>
        <v>158</v>
      </c>
      <c r="B162" s="36">
        <f>IF(A162="","",DATE(YEAR('Mortgage Setup'!B8),MONTH('Mortgage Setup'!B8)+157,DAY('Mortgage Setup'!B8)))</f>
        <v>50802</v>
      </c>
      <c r="C162" s="37">
        <f>IF(A162="",0,IF(H161&lt;=0,0,MIN('Mortgage Setup'!B12,H161*(1+'Mortgage Setup'!B6/12))))</f>
        <v>1769.79</v>
      </c>
      <c r="D162" s="37">
        <f>IF(A162="",0,IF(H161&lt;=0,0,MIN(C162-E162,H161)))</f>
        <v>858.16</v>
      </c>
      <c r="E162" s="37">
        <f>IF(A162="",0,IF(H161&lt;=0,0,ROUND(H161*('Mortgage Setup'!B6/12),2)))</f>
        <v>911.63</v>
      </c>
      <c r="F162" s="37">
        <f>IF(A162="",0,IF(H161&lt;=0,0,MIN('Mortgage Setup'!B9,MAX(H161-D162,0))))</f>
        <v>200</v>
      </c>
      <c r="G162" s="37">
        <f>IF(A162="",0,C162+F162)</f>
        <v>1969.79</v>
      </c>
      <c r="H162" s="37">
        <f>IF(A162="",0,MAX(H161-D162-F162,0))</f>
        <v>167242.89</v>
      </c>
      <c r="I162" s="37">
        <f>IF(A162="",0,I161+E162)</f>
        <v>198469.71000000005</v>
      </c>
    </row>
    <row r="163" ht="26" customHeight="1" spans="1:9" x14ac:dyDescent="0.25">
      <c r="A163" s="32">
        <f>IF(H162&gt;0,159,"")</f>
        <v>159</v>
      </c>
      <c r="B163" s="33">
        <f>IF(A163="","",DATE(YEAR('Mortgage Setup'!B8),MONTH('Mortgage Setup'!B8)+158,DAY('Mortgage Setup'!B8)))</f>
        <v>50830</v>
      </c>
      <c r="C163" s="34">
        <f>IF(A163="",0,IF(H162&lt;=0,0,MIN('Mortgage Setup'!B12,H162*(1+'Mortgage Setup'!B6/12))))</f>
        <v>1769.79</v>
      </c>
      <c r="D163" s="34">
        <f>IF(A163="",0,IF(H162&lt;=0,0,MIN(C163-E163,H162)))</f>
        <v>863.89</v>
      </c>
      <c r="E163" s="34">
        <f>IF(A163="",0,IF(H162&lt;=0,0,ROUND(H162*('Mortgage Setup'!B6/12),2)))</f>
        <v>905.9</v>
      </c>
      <c r="F163" s="34">
        <f>IF(A163="",0,IF(H162&lt;=0,0,MIN('Mortgage Setup'!B9,MAX(H162-D163,0))))</f>
        <v>200</v>
      </c>
      <c r="G163" s="34">
        <f>IF(A163="",0,C163+F163)</f>
        <v>1969.79</v>
      </c>
      <c r="H163" s="34">
        <f>IF(A163="",0,MAX(H162-D163-F163,0))</f>
        <v>166179</v>
      </c>
      <c r="I163" s="34">
        <f>IF(A163="",0,I162+E163)</f>
        <v>199375.61000000004</v>
      </c>
    </row>
    <row r="164" ht="26" customHeight="1" spans="1:9" x14ac:dyDescent="0.25">
      <c r="A164" s="35">
        <f>IF(H163&gt;0,160,"")</f>
        <v>160</v>
      </c>
      <c r="B164" s="36">
        <f>IF(A164="","",DATE(YEAR('Mortgage Setup'!B8),MONTH('Mortgage Setup'!B8)+159,DAY('Mortgage Setup'!B8)))</f>
        <v>50861</v>
      </c>
      <c r="C164" s="37">
        <f>IF(A164="",0,IF(H163&lt;=0,0,MIN('Mortgage Setup'!B12,H163*(1+'Mortgage Setup'!B6/12))))</f>
        <v>1769.79</v>
      </c>
      <c r="D164" s="37">
        <f>IF(A164="",0,IF(H163&lt;=0,0,MIN(C164-E164,H163)))</f>
        <v>869.65</v>
      </c>
      <c r="E164" s="37">
        <f>IF(A164="",0,IF(H163&lt;=0,0,ROUND(H163*('Mortgage Setup'!B6/12),2)))</f>
        <v>900.14</v>
      </c>
      <c r="F164" s="37">
        <f>IF(A164="",0,IF(H163&lt;=0,0,MIN('Mortgage Setup'!B9,MAX(H163-D164,0))))</f>
        <v>200</v>
      </c>
      <c r="G164" s="37">
        <f>IF(A164="",0,C164+F164)</f>
        <v>1969.79</v>
      </c>
      <c r="H164" s="37">
        <f>IF(A164="",0,MAX(H163-D164-F164,0))</f>
        <v>165109.35</v>
      </c>
      <c r="I164" s="37">
        <f>IF(A164="",0,I163+E164)</f>
        <v>200275.75000000006</v>
      </c>
    </row>
    <row r="165" ht="26" customHeight="1" spans="1:9" x14ac:dyDescent="0.25">
      <c r="A165" s="32">
        <f>IF(H164&gt;0,161,"")</f>
        <v>161</v>
      </c>
      <c r="B165" s="33">
        <f>IF(A165="","",DATE(YEAR('Mortgage Setup'!B8),MONTH('Mortgage Setup'!B8)+160,DAY('Mortgage Setup'!B8)))</f>
        <v>50891</v>
      </c>
      <c r="C165" s="34">
        <f>IF(A165="",0,IF(H164&lt;=0,0,MIN('Mortgage Setup'!B12,H164*(1+'Mortgage Setup'!B6/12))))</f>
        <v>1769.79</v>
      </c>
      <c r="D165" s="34">
        <f>IF(A165="",0,IF(H164&lt;=0,0,MIN(C165-E165,H164)))</f>
        <v>875.45</v>
      </c>
      <c r="E165" s="34">
        <f>IF(A165="",0,IF(H164&lt;=0,0,ROUND(H164*('Mortgage Setup'!B6/12),2)))</f>
        <v>894.34</v>
      </c>
      <c r="F165" s="34">
        <f>IF(A165="",0,IF(H164&lt;=0,0,MIN('Mortgage Setup'!B9,MAX(H164-D165,0))))</f>
        <v>200</v>
      </c>
      <c r="G165" s="34">
        <f>IF(A165="",0,C165+F165)</f>
        <v>1969.79</v>
      </c>
      <c r="H165" s="34">
        <f>IF(A165="",0,MAX(H164-D165-F165,0))</f>
        <v>164033.9</v>
      </c>
      <c r="I165" s="34">
        <f>IF(A165="",0,I164+E165)</f>
        <v>201170.09000000005</v>
      </c>
    </row>
    <row r="166" ht="26" customHeight="1" spans="1:9" x14ac:dyDescent="0.25">
      <c r="A166" s="35">
        <f>IF(H165&gt;0,162,"")</f>
        <v>162</v>
      </c>
      <c r="B166" s="36">
        <f>IF(A166="","",DATE(YEAR('Mortgage Setup'!B8),MONTH('Mortgage Setup'!B8)+161,DAY('Mortgage Setup'!B8)))</f>
        <v>50922</v>
      </c>
      <c r="C166" s="37">
        <f>IF(A166="",0,IF(H165&lt;=0,0,MIN('Mortgage Setup'!B12,H165*(1+'Mortgage Setup'!B6/12))))</f>
        <v>1769.79</v>
      </c>
      <c r="D166" s="37">
        <f>IF(A166="",0,IF(H165&lt;=0,0,MIN(C166-E166,H165)))</f>
        <v>881.27</v>
      </c>
      <c r="E166" s="37">
        <f>IF(A166="",0,IF(H165&lt;=0,0,ROUND(H165*('Mortgage Setup'!B6/12),2)))</f>
        <v>888.52</v>
      </c>
      <c r="F166" s="37">
        <f>IF(A166="",0,IF(H165&lt;=0,0,MIN('Mortgage Setup'!B9,MAX(H165-D166,0))))</f>
        <v>200</v>
      </c>
      <c r="G166" s="37">
        <f>IF(A166="",0,C166+F166)</f>
        <v>1969.79</v>
      </c>
      <c r="H166" s="37">
        <f>IF(A166="",0,MAX(H165-D166-F166,0))</f>
        <v>162952.63</v>
      </c>
      <c r="I166" s="37">
        <f>IF(A166="",0,I165+E166)</f>
        <v>202058.61000000004</v>
      </c>
    </row>
    <row r="167" ht="26" customHeight="1" spans="1:9" x14ac:dyDescent="0.25">
      <c r="A167" s="32">
        <f>IF(H166&gt;0,163,"")</f>
        <v>163</v>
      </c>
      <c r="B167" s="33">
        <f>IF(A167="","",DATE(YEAR('Mortgage Setup'!B8),MONTH('Mortgage Setup'!B8)+162,DAY('Mortgage Setup'!B8)))</f>
        <v>50952</v>
      </c>
      <c r="C167" s="34">
        <f>IF(A167="",0,IF(H166&lt;=0,0,MIN('Mortgage Setup'!B12,H166*(1+'Mortgage Setup'!B6/12))))</f>
        <v>1769.79</v>
      </c>
      <c r="D167" s="34">
        <f>IF(A167="",0,IF(H166&lt;=0,0,MIN(C167-E167,H166)))</f>
        <v>887.13</v>
      </c>
      <c r="E167" s="34">
        <f>IF(A167="",0,IF(H166&lt;=0,0,ROUND(H166*('Mortgage Setup'!B6/12),2)))</f>
        <v>882.66</v>
      </c>
      <c r="F167" s="34">
        <f>IF(A167="",0,IF(H166&lt;=0,0,MIN('Mortgage Setup'!B9,MAX(H166-D167,0))))</f>
        <v>200</v>
      </c>
      <c r="G167" s="34">
        <f>IF(A167="",0,C167+F167)</f>
        <v>1969.79</v>
      </c>
      <c r="H167" s="34">
        <f>IF(A167="",0,MAX(H166-D167-F167,0))</f>
        <v>161865.5</v>
      </c>
      <c r="I167" s="34">
        <f>IF(A167="",0,I166+E167)</f>
        <v>202941.27000000005</v>
      </c>
    </row>
    <row r="168" ht="26" customHeight="1" spans="1:9" x14ac:dyDescent="0.25">
      <c r="A168" s="35">
        <f>IF(H167&gt;0,164,"")</f>
        <v>164</v>
      </c>
      <c r="B168" s="36">
        <f>IF(A168="","",DATE(YEAR('Mortgage Setup'!B8),MONTH('Mortgage Setup'!B8)+163,DAY('Mortgage Setup'!B8)))</f>
        <v>50983</v>
      </c>
      <c r="C168" s="37">
        <f>IF(A168="",0,IF(H167&lt;=0,0,MIN('Mortgage Setup'!B12,H167*(1+'Mortgage Setup'!B6/12))))</f>
        <v>1769.79</v>
      </c>
      <c r="D168" s="37">
        <f>IF(A168="",0,IF(H167&lt;=0,0,MIN(C168-E168,H167)))</f>
        <v>893.02</v>
      </c>
      <c r="E168" s="37">
        <f>IF(A168="",0,IF(H167&lt;=0,0,ROUND(H167*('Mortgage Setup'!B6/12),2)))</f>
        <v>876.77</v>
      </c>
      <c r="F168" s="37">
        <f>IF(A168="",0,IF(H167&lt;=0,0,MIN('Mortgage Setup'!B9,MAX(H167-D168,0))))</f>
        <v>200</v>
      </c>
      <c r="G168" s="37">
        <f>IF(A168="",0,C168+F168)</f>
        <v>1969.79</v>
      </c>
      <c r="H168" s="37">
        <f>IF(A168="",0,MAX(H167-D168-F168,0))</f>
        <v>160772.48</v>
      </c>
      <c r="I168" s="37">
        <f>IF(A168="",0,I167+E168)</f>
        <v>203818.04000000004</v>
      </c>
    </row>
    <row r="169" ht="26" customHeight="1" spans="1:9" x14ac:dyDescent="0.25">
      <c r="A169" s="32">
        <f>IF(H168&gt;0,165,"")</f>
        <v>165</v>
      </c>
      <c r="B169" s="33">
        <f>IF(A169="","",DATE(YEAR('Mortgage Setup'!B8),MONTH('Mortgage Setup'!B8)+164,DAY('Mortgage Setup'!B8)))</f>
        <v>51014</v>
      </c>
      <c r="C169" s="34">
        <f>IF(A169="",0,IF(H168&lt;=0,0,MIN('Mortgage Setup'!B12,H168*(1+'Mortgage Setup'!B6/12))))</f>
        <v>1769.79</v>
      </c>
      <c r="D169" s="34">
        <f>IF(A169="",0,IF(H168&lt;=0,0,MIN(C169-E169,H168)))</f>
        <v>898.94</v>
      </c>
      <c r="E169" s="34">
        <f>IF(A169="",0,IF(H168&lt;=0,0,ROUND(H168*('Mortgage Setup'!B6/12),2)))</f>
        <v>870.85</v>
      </c>
      <c r="F169" s="34">
        <f>IF(A169="",0,IF(H168&lt;=0,0,MIN('Mortgage Setup'!B9,MAX(H168-D169,0))))</f>
        <v>200</v>
      </c>
      <c r="G169" s="34">
        <f>IF(A169="",0,C169+F169)</f>
        <v>1969.79</v>
      </c>
      <c r="H169" s="34">
        <f>IF(A169="",0,MAX(H168-D169-F169,0))</f>
        <v>159673.54</v>
      </c>
      <c r="I169" s="34">
        <f>IF(A169="",0,I168+E169)</f>
        <v>204688.89000000004</v>
      </c>
    </row>
    <row r="170" ht="26" customHeight="1" spans="1:9" x14ac:dyDescent="0.25">
      <c r="A170" s="35">
        <f>IF(H169&gt;0,166,"")</f>
        <v>166</v>
      </c>
      <c r="B170" s="36">
        <f>IF(A170="","",DATE(YEAR('Mortgage Setup'!B8),MONTH('Mortgage Setup'!B8)+165,DAY('Mortgage Setup'!B8)))</f>
        <v>51044</v>
      </c>
      <c r="C170" s="37">
        <f>IF(A170="",0,IF(H169&lt;=0,0,MIN('Mortgage Setup'!B12,H169*(1+'Mortgage Setup'!B6/12))))</f>
        <v>1769.79</v>
      </c>
      <c r="D170" s="37">
        <f>IF(A170="",0,IF(H169&lt;=0,0,MIN(C170-E170,H169)))</f>
        <v>904.89</v>
      </c>
      <c r="E170" s="37">
        <f>IF(A170="",0,IF(H169&lt;=0,0,ROUND(H169*('Mortgage Setup'!B6/12),2)))</f>
        <v>864.9</v>
      </c>
      <c r="F170" s="37">
        <f>IF(A170="",0,IF(H169&lt;=0,0,MIN('Mortgage Setup'!B9,MAX(H169-D170,0))))</f>
        <v>200</v>
      </c>
      <c r="G170" s="37">
        <f>IF(A170="",0,C170+F170)</f>
        <v>1969.79</v>
      </c>
      <c r="H170" s="37">
        <f>IF(A170="",0,MAX(H169-D170-F170,0))</f>
        <v>158568.65</v>
      </c>
      <c r="I170" s="37">
        <f>IF(A170="",0,I169+E170)</f>
        <v>205553.79000000004</v>
      </c>
    </row>
    <row r="171" ht="26" customHeight="1" spans="1:9" x14ac:dyDescent="0.25">
      <c r="A171" s="32">
        <f>IF(H170&gt;0,167,"")</f>
        <v>167</v>
      </c>
      <c r="B171" s="33">
        <f>IF(A171="","",DATE(YEAR('Mortgage Setup'!B8),MONTH('Mortgage Setup'!B8)+166,DAY('Mortgage Setup'!B8)))</f>
        <v>51075</v>
      </c>
      <c r="C171" s="34">
        <f>IF(A171="",0,IF(H170&lt;=0,0,MIN('Mortgage Setup'!B12,H170*(1+'Mortgage Setup'!B6/12))))</f>
        <v>1769.79</v>
      </c>
      <c r="D171" s="34">
        <f>IF(A171="",0,IF(H170&lt;=0,0,MIN(C171-E171,H170)))</f>
        <v>910.88</v>
      </c>
      <c r="E171" s="34">
        <f>IF(A171="",0,IF(H170&lt;=0,0,ROUND(H170*('Mortgage Setup'!B6/12),2)))</f>
        <v>858.91</v>
      </c>
      <c r="F171" s="34">
        <f>IF(A171="",0,IF(H170&lt;=0,0,MIN('Mortgage Setup'!B9,MAX(H170-D171,0))))</f>
        <v>200</v>
      </c>
      <c r="G171" s="34">
        <f>IF(A171="",0,C171+F171)</f>
        <v>1969.79</v>
      </c>
      <c r="H171" s="34">
        <f>IF(A171="",0,MAX(H170-D171-F171,0))</f>
        <v>157457.77</v>
      </c>
      <c r="I171" s="34">
        <f>IF(A171="",0,I170+E171)</f>
        <v>206412.70000000004</v>
      </c>
    </row>
    <row r="172" ht="26" customHeight="1" spans="1:9" x14ac:dyDescent="0.25">
      <c r="A172" s="35">
        <f>IF(H171&gt;0,168,"")</f>
        <v>168</v>
      </c>
      <c r="B172" s="36">
        <f>IF(A172="","",DATE(YEAR('Mortgage Setup'!B8),MONTH('Mortgage Setup'!B8)+167,DAY('Mortgage Setup'!B8)))</f>
        <v>51105</v>
      </c>
      <c r="C172" s="37">
        <f>IF(A172="",0,IF(H171&lt;=0,0,MIN('Mortgage Setup'!B12,H171*(1+'Mortgage Setup'!B6/12))))</f>
        <v>1769.79</v>
      </c>
      <c r="D172" s="37">
        <f>IF(A172="",0,IF(H171&lt;=0,0,MIN(C172-E172,H171)))</f>
        <v>916.89</v>
      </c>
      <c r="E172" s="37">
        <f>IF(A172="",0,IF(H171&lt;=0,0,ROUND(H171*('Mortgage Setup'!B6/12),2)))</f>
        <v>852.9</v>
      </c>
      <c r="F172" s="37">
        <f>IF(A172="",0,IF(H171&lt;=0,0,MIN('Mortgage Setup'!B9,MAX(H171-D172,0))))</f>
        <v>200</v>
      </c>
      <c r="G172" s="37">
        <f>IF(A172="",0,C172+F172)</f>
        <v>1969.79</v>
      </c>
      <c r="H172" s="37">
        <f>IF(A172="",0,MAX(H171-D172-F172,0))</f>
        <v>156340.88</v>
      </c>
      <c r="I172" s="37">
        <f>IF(A172="",0,I171+E172)</f>
        <v>207265.60000000003</v>
      </c>
    </row>
    <row r="173" ht="26" customHeight="1" spans="1:9" x14ac:dyDescent="0.25">
      <c r="A173" s="32">
        <f>IF(H172&gt;0,169,"")</f>
        <v>169</v>
      </c>
      <c r="B173" s="33">
        <f>IF(A173="","",DATE(YEAR('Mortgage Setup'!B8),MONTH('Mortgage Setup'!B8)+168,DAY('Mortgage Setup'!B8)))</f>
        <v>51136</v>
      </c>
      <c r="C173" s="34">
        <f>IF(A173="",0,IF(H172&lt;=0,0,MIN('Mortgage Setup'!B12,H172*(1+'Mortgage Setup'!B6/12))))</f>
        <v>1769.79</v>
      </c>
      <c r="D173" s="34">
        <f>IF(A173="",0,IF(H172&lt;=0,0,MIN(C173-E173,H172)))</f>
        <v>922.94</v>
      </c>
      <c r="E173" s="34">
        <f>IF(A173="",0,IF(H172&lt;=0,0,ROUND(H172*('Mortgage Setup'!B6/12),2)))</f>
        <v>846.85</v>
      </c>
      <c r="F173" s="34">
        <f>IF(A173="",0,IF(H172&lt;=0,0,MIN('Mortgage Setup'!B9,MAX(H172-D173,0))))</f>
        <v>200</v>
      </c>
      <c r="G173" s="34">
        <f>IF(A173="",0,C173+F173)</f>
        <v>1969.79</v>
      </c>
      <c r="H173" s="34">
        <f>IF(A173="",0,MAX(H172-D173-F173,0))</f>
        <v>155217.94</v>
      </c>
      <c r="I173" s="34">
        <f>IF(A173="",0,I172+E173)</f>
        <v>208112.45000000004</v>
      </c>
    </row>
    <row r="174" ht="26" customHeight="1" spans="1:9" x14ac:dyDescent="0.25">
      <c r="A174" s="35">
        <f>IF(H173&gt;0,170,"")</f>
        <v>170</v>
      </c>
      <c r="B174" s="36">
        <f>IF(A174="","",DATE(YEAR('Mortgage Setup'!B8),MONTH('Mortgage Setup'!B8)+169,DAY('Mortgage Setup'!B8)))</f>
        <v>51167</v>
      </c>
      <c r="C174" s="37">
        <f>IF(A174="",0,IF(H173&lt;=0,0,MIN('Mortgage Setup'!B12,H173*(1+'Mortgage Setup'!B6/12))))</f>
        <v>1769.79</v>
      </c>
      <c r="D174" s="37">
        <f>IF(A174="",0,IF(H173&lt;=0,0,MIN(C174-E174,H173)))</f>
        <v>929.03</v>
      </c>
      <c r="E174" s="37">
        <f>IF(A174="",0,IF(H173&lt;=0,0,ROUND(H173*('Mortgage Setup'!B6/12),2)))</f>
        <v>840.76</v>
      </c>
      <c r="F174" s="37">
        <f>IF(A174="",0,IF(H173&lt;=0,0,MIN('Mortgage Setup'!B9,MAX(H173-D174,0))))</f>
        <v>200</v>
      </c>
      <c r="G174" s="37">
        <f>IF(A174="",0,C174+F174)</f>
        <v>1969.79</v>
      </c>
      <c r="H174" s="37">
        <f>IF(A174="",0,MAX(H173-D174-F174,0))</f>
        <v>154088.91</v>
      </c>
      <c r="I174" s="37">
        <f>IF(A174="",0,I173+E174)</f>
        <v>208953.21000000005</v>
      </c>
    </row>
    <row r="175" ht="26" customHeight="1" spans="1:9" x14ac:dyDescent="0.25">
      <c r="A175" s="32">
        <f>IF(H174&gt;0,171,"")</f>
        <v>171</v>
      </c>
      <c r="B175" s="33">
        <f>IF(A175="","",DATE(YEAR('Mortgage Setup'!B8),MONTH('Mortgage Setup'!B8)+170,DAY('Mortgage Setup'!B8)))</f>
        <v>51196</v>
      </c>
      <c r="C175" s="34">
        <f>IF(A175="",0,IF(H174&lt;=0,0,MIN('Mortgage Setup'!B12,H174*(1+'Mortgage Setup'!B6/12))))</f>
        <v>1769.79</v>
      </c>
      <c r="D175" s="34">
        <f>IF(A175="",0,IF(H174&lt;=0,0,MIN(C175-E175,H174)))</f>
        <v>935.14</v>
      </c>
      <c r="E175" s="34">
        <f>IF(A175="",0,IF(H174&lt;=0,0,ROUND(H174*('Mortgage Setup'!B6/12),2)))</f>
        <v>834.65</v>
      </c>
      <c r="F175" s="34">
        <f>IF(A175="",0,IF(H174&lt;=0,0,MIN('Mortgage Setup'!B9,MAX(H174-D175,0))))</f>
        <v>200</v>
      </c>
      <c r="G175" s="34">
        <f>IF(A175="",0,C175+F175)</f>
        <v>1969.79</v>
      </c>
      <c r="H175" s="34">
        <f>IF(A175="",0,MAX(H174-D175-F175,0))</f>
        <v>152953.77</v>
      </c>
      <c r="I175" s="34">
        <f>IF(A175="",0,I174+E175)</f>
        <v>209787.86000000004</v>
      </c>
    </row>
    <row r="176" ht="26" customHeight="1" spans="1:9" x14ac:dyDescent="0.25">
      <c r="A176" s="35">
        <f>IF(H175&gt;0,172,"")</f>
        <v>172</v>
      </c>
      <c r="B176" s="36">
        <f>IF(A176="","",DATE(YEAR('Mortgage Setup'!B8),MONTH('Mortgage Setup'!B8)+171,DAY('Mortgage Setup'!B8)))</f>
        <v>51227</v>
      </c>
      <c r="C176" s="37">
        <f>IF(A176="",0,IF(H175&lt;=0,0,MIN('Mortgage Setup'!B12,H175*(1+'Mortgage Setup'!B6/12))))</f>
        <v>1769.79</v>
      </c>
      <c r="D176" s="37">
        <f>IF(A176="",0,IF(H175&lt;=0,0,MIN(C176-E176,H175)))</f>
        <v>941.29</v>
      </c>
      <c r="E176" s="37">
        <f>IF(A176="",0,IF(H175&lt;=0,0,ROUND(H175*('Mortgage Setup'!B6/12),2)))</f>
        <v>828.5</v>
      </c>
      <c r="F176" s="37">
        <f>IF(A176="",0,IF(H175&lt;=0,0,MIN('Mortgage Setup'!B9,MAX(H175-D176,0))))</f>
        <v>200</v>
      </c>
      <c r="G176" s="37">
        <f>IF(A176="",0,C176+F176)</f>
        <v>1969.79</v>
      </c>
      <c r="H176" s="37">
        <f>IF(A176="",0,MAX(H175-D176-F176,0))</f>
        <v>151812.48</v>
      </c>
      <c r="I176" s="37">
        <f>IF(A176="",0,I175+E176)</f>
        <v>210616.36000000004</v>
      </c>
    </row>
    <row r="177" ht="26" customHeight="1" spans="1:9" x14ac:dyDescent="0.25">
      <c r="A177" s="32">
        <f>IF(H176&gt;0,173,"")</f>
        <v>173</v>
      </c>
      <c r="B177" s="33">
        <f>IF(A177="","",DATE(YEAR('Mortgage Setup'!B8),MONTH('Mortgage Setup'!B8)+172,DAY('Mortgage Setup'!B8)))</f>
        <v>51257</v>
      </c>
      <c r="C177" s="34">
        <f>IF(A177="",0,IF(H176&lt;=0,0,MIN('Mortgage Setup'!B12,H176*(1+'Mortgage Setup'!B6/12))))</f>
        <v>1769.79</v>
      </c>
      <c r="D177" s="34">
        <f>IF(A177="",0,IF(H176&lt;=0,0,MIN(C177-E177,H176)))</f>
        <v>947.47</v>
      </c>
      <c r="E177" s="34">
        <f>IF(A177="",0,IF(H176&lt;=0,0,ROUND(H176*('Mortgage Setup'!B6/12),2)))</f>
        <v>822.32</v>
      </c>
      <c r="F177" s="34">
        <f>IF(A177="",0,IF(H176&lt;=0,0,MIN('Mortgage Setup'!B9,MAX(H176-D177,0))))</f>
        <v>200</v>
      </c>
      <c r="G177" s="34">
        <f>IF(A177="",0,C177+F177)</f>
        <v>1969.79</v>
      </c>
      <c r="H177" s="34">
        <f>IF(A177="",0,MAX(H176-D177-F177,0))</f>
        <v>150665.01</v>
      </c>
      <c r="I177" s="34">
        <f>IF(A177="",0,I176+E177)</f>
        <v>211438.68000000005</v>
      </c>
    </row>
    <row r="178" ht="26" customHeight="1" spans="1:9" x14ac:dyDescent="0.25">
      <c r="A178" s="35">
        <f>IF(H177&gt;0,174,"")</f>
        <v>174</v>
      </c>
      <c r="B178" s="36">
        <f>IF(A178="","",DATE(YEAR('Mortgage Setup'!B8),MONTH('Mortgage Setup'!B8)+173,DAY('Mortgage Setup'!B8)))</f>
        <v>51288</v>
      </c>
      <c r="C178" s="37">
        <f>IF(A178="",0,IF(H177&lt;=0,0,MIN('Mortgage Setup'!B12,H177*(1+'Mortgage Setup'!B6/12))))</f>
        <v>1769.79</v>
      </c>
      <c r="D178" s="37">
        <f>IF(A178="",0,IF(H177&lt;=0,0,MIN(C178-E178,H177)))</f>
        <v>953.69</v>
      </c>
      <c r="E178" s="37">
        <f>IF(A178="",0,IF(H177&lt;=0,0,ROUND(H177*('Mortgage Setup'!B6/12),2)))</f>
        <v>816.1</v>
      </c>
      <c r="F178" s="37">
        <f>IF(A178="",0,IF(H177&lt;=0,0,MIN('Mortgage Setup'!B9,MAX(H177-D178,0))))</f>
        <v>200</v>
      </c>
      <c r="G178" s="37">
        <f>IF(A178="",0,C178+F178)</f>
        <v>1969.79</v>
      </c>
      <c r="H178" s="37">
        <f>IF(A178="",0,MAX(H177-D178-F178,0))</f>
        <v>149511.32</v>
      </c>
      <c r="I178" s="37">
        <f>IF(A178="",0,I177+E178)</f>
        <v>212254.78000000006</v>
      </c>
    </row>
    <row r="179" ht="26" customHeight="1" spans="1:9" x14ac:dyDescent="0.25">
      <c r="A179" s="32">
        <f>IF(H178&gt;0,175,"")</f>
        <v>175</v>
      </c>
      <c r="B179" s="33">
        <f>IF(A179="","",DATE(YEAR('Mortgage Setup'!B8),MONTH('Mortgage Setup'!B8)+174,DAY('Mortgage Setup'!B8)))</f>
        <v>51318</v>
      </c>
      <c r="C179" s="34">
        <f>IF(A179="",0,IF(H178&lt;=0,0,MIN('Mortgage Setup'!B12,H178*(1+'Mortgage Setup'!B6/12))))</f>
        <v>1769.79</v>
      </c>
      <c r="D179" s="34">
        <f>IF(A179="",0,IF(H178&lt;=0,0,MIN(C179-E179,H178)))</f>
        <v>959.94</v>
      </c>
      <c r="E179" s="34">
        <f>IF(A179="",0,IF(H178&lt;=0,0,ROUND(H178*('Mortgage Setup'!B6/12),2)))</f>
        <v>809.85</v>
      </c>
      <c r="F179" s="34">
        <f>IF(A179="",0,IF(H178&lt;=0,0,MIN('Mortgage Setup'!B9,MAX(H178-D179,0))))</f>
        <v>200</v>
      </c>
      <c r="G179" s="34">
        <f>IF(A179="",0,C179+F179)</f>
        <v>1969.79</v>
      </c>
      <c r="H179" s="34">
        <f>IF(A179="",0,MAX(H178-D179-F179,0))</f>
        <v>148351.38</v>
      </c>
      <c r="I179" s="34">
        <f>IF(A179="",0,I178+E179)</f>
        <v>213064.63000000006</v>
      </c>
    </row>
    <row r="180" ht="26" customHeight="1" spans="1:9" x14ac:dyDescent="0.25">
      <c r="A180" s="35">
        <f>IF(H179&gt;0,176,"")</f>
        <v>176</v>
      </c>
      <c r="B180" s="36">
        <f>IF(A180="","",DATE(YEAR('Mortgage Setup'!B8),MONTH('Mortgage Setup'!B8)+175,DAY('Mortgage Setup'!B8)))</f>
        <v>51349</v>
      </c>
      <c r="C180" s="37">
        <f>IF(A180="",0,IF(H179&lt;=0,0,MIN('Mortgage Setup'!B12,H179*(1+'Mortgage Setup'!B6/12))))</f>
        <v>1769.79</v>
      </c>
      <c r="D180" s="37">
        <f>IF(A180="",0,IF(H179&lt;=0,0,MIN(C180-E180,H179)))</f>
        <v>966.22</v>
      </c>
      <c r="E180" s="37">
        <f>IF(A180="",0,IF(H179&lt;=0,0,ROUND(H179*('Mortgage Setup'!B6/12),2)))</f>
        <v>803.57</v>
      </c>
      <c r="F180" s="37">
        <f>IF(A180="",0,IF(H179&lt;=0,0,MIN('Mortgage Setup'!B9,MAX(H179-D180,0))))</f>
        <v>200</v>
      </c>
      <c r="G180" s="37">
        <f>IF(A180="",0,C180+F180)</f>
        <v>1969.79</v>
      </c>
      <c r="H180" s="37">
        <f>IF(A180="",0,MAX(H179-D180-F180,0))</f>
        <v>147185.16</v>
      </c>
      <c r="I180" s="37">
        <f>IF(A180="",0,I179+E180)</f>
        <v>213868.20000000007</v>
      </c>
    </row>
    <row r="181" ht="26" customHeight="1" spans="1:9" x14ac:dyDescent="0.25">
      <c r="A181" s="32">
        <f>IF(H180&gt;0,177,"")</f>
        <v>177</v>
      </c>
      <c r="B181" s="33">
        <f>IF(A181="","",DATE(YEAR('Mortgage Setup'!B8),MONTH('Mortgage Setup'!B8)+176,DAY('Mortgage Setup'!B8)))</f>
        <v>51380</v>
      </c>
      <c r="C181" s="34">
        <f>IF(A181="",0,IF(H180&lt;=0,0,MIN('Mortgage Setup'!B12,H180*(1+'Mortgage Setup'!B6/12))))</f>
        <v>1769.79</v>
      </c>
      <c r="D181" s="34">
        <f>IF(A181="",0,IF(H180&lt;=0,0,MIN(C181-E181,H180)))</f>
        <v>972.54</v>
      </c>
      <c r="E181" s="34">
        <f>IF(A181="",0,IF(H180&lt;=0,0,ROUND(H180*('Mortgage Setup'!B6/12),2)))</f>
        <v>797.25</v>
      </c>
      <c r="F181" s="34">
        <f>IF(A181="",0,IF(H180&lt;=0,0,MIN('Mortgage Setup'!B9,MAX(H180-D181,0))))</f>
        <v>200</v>
      </c>
      <c r="G181" s="34">
        <f>IF(A181="",0,C181+F181)</f>
        <v>1969.79</v>
      </c>
      <c r="H181" s="34">
        <f>IF(A181="",0,MAX(H180-D181-F181,0))</f>
        <v>146012.62</v>
      </c>
      <c r="I181" s="34">
        <f>IF(A181="",0,I180+E181)</f>
        <v>214665.45000000007</v>
      </c>
    </row>
    <row r="182" ht="26" customHeight="1" spans="1:9" x14ac:dyDescent="0.25">
      <c r="A182" s="35">
        <f>IF(H181&gt;0,178,"")</f>
        <v>178</v>
      </c>
      <c r="B182" s="36">
        <f>IF(A182="","",DATE(YEAR('Mortgage Setup'!B8),MONTH('Mortgage Setup'!B8)+177,DAY('Mortgage Setup'!B8)))</f>
        <v>51410</v>
      </c>
      <c r="C182" s="37">
        <f>IF(A182="",0,IF(H181&lt;=0,0,MIN('Mortgage Setup'!B12,H181*(1+'Mortgage Setup'!B6/12))))</f>
        <v>1769.79</v>
      </c>
      <c r="D182" s="37">
        <f>IF(A182="",0,IF(H181&lt;=0,0,MIN(C182-E182,H181)))</f>
        <v>978.89</v>
      </c>
      <c r="E182" s="37">
        <f>IF(A182="",0,IF(H181&lt;=0,0,ROUND(H181*('Mortgage Setup'!B6/12),2)))</f>
        <v>790.9</v>
      </c>
      <c r="F182" s="37">
        <f>IF(A182="",0,IF(H181&lt;=0,0,MIN('Mortgage Setup'!B9,MAX(H181-D182,0))))</f>
        <v>200</v>
      </c>
      <c r="G182" s="37">
        <f>IF(A182="",0,C182+F182)</f>
        <v>1969.79</v>
      </c>
      <c r="H182" s="37">
        <f>IF(A182="",0,MAX(H181-D182-F182,0))</f>
        <v>144833.73</v>
      </c>
      <c r="I182" s="37">
        <f>IF(A182="",0,I181+E182)</f>
        <v>215456.35000000006</v>
      </c>
    </row>
    <row r="183" ht="26" customHeight="1" spans="1:9" x14ac:dyDescent="0.25">
      <c r="A183" s="32">
        <f>IF(H182&gt;0,179,"")</f>
        <v>179</v>
      </c>
      <c r="B183" s="33">
        <f>IF(A183="","",DATE(YEAR('Mortgage Setup'!B8),MONTH('Mortgage Setup'!B8)+178,DAY('Mortgage Setup'!B8)))</f>
        <v>51441</v>
      </c>
      <c r="C183" s="34">
        <f>IF(A183="",0,IF(H182&lt;=0,0,MIN('Mortgage Setup'!B12,H182*(1+'Mortgage Setup'!B6/12))))</f>
        <v>1769.79</v>
      </c>
      <c r="D183" s="34">
        <f>IF(A183="",0,IF(H182&lt;=0,0,MIN(C183-E183,H182)))</f>
        <v>985.27</v>
      </c>
      <c r="E183" s="34">
        <f>IF(A183="",0,IF(H182&lt;=0,0,ROUND(H182*('Mortgage Setup'!B6/12),2)))</f>
        <v>784.52</v>
      </c>
      <c r="F183" s="34">
        <f>IF(A183="",0,IF(H182&lt;=0,0,MIN('Mortgage Setup'!B9,MAX(H182-D183,0))))</f>
        <v>200</v>
      </c>
      <c r="G183" s="34">
        <f>IF(A183="",0,C183+F183)</f>
        <v>1969.79</v>
      </c>
      <c r="H183" s="34">
        <f>IF(A183="",0,MAX(H182-D183-F183,0))</f>
        <v>143648.46</v>
      </c>
      <c r="I183" s="34">
        <f>IF(A183="",0,I182+E183)</f>
        <v>216240.87000000005</v>
      </c>
    </row>
    <row r="184" ht="26" customHeight="1" spans="1:9" x14ac:dyDescent="0.25">
      <c r="A184" s="35">
        <f>IF(H183&gt;0,180,"")</f>
        <v>180</v>
      </c>
      <c r="B184" s="36">
        <f>IF(A184="","",DATE(YEAR('Mortgage Setup'!B8),MONTH('Mortgage Setup'!B8)+179,DAY('Mortgage Setup'!B8)))</f>
        <v>51471</v>
      </c>
      <c r="C184" s="37">
        <f>IF(A184="",0,IF(H183&lt;=0,0,MIN('Mortgage Setup'!B12,H183*(1+'Mortgage Setup'!B6/12))))</f>
        <v>1769.79</v>
      </c>
      <c r="D184" s="37">
        <f>IF(A184="",0,IF(H183&lt;=0,0,MIN(C184-E184,H183)))</f>
        <v>991.69</v>
      </c>
      <c r="E184" s="37">
        <f>IF(A184="",0,IF(H183&lt;=0,0,ROUND(H183*('Mortgage Setup'!B6/12),2)))</f>
        <v>778.1</v>
      </c>
      <c r="F184" s="37">
        <f>IF(A184="",0,IF(H183&lt;=0,0,MIN('Mortgage Setup'!B9,MAX(H183-D184,0))))</f>
        <v>200</v>
      </c>
      <c r="G184" s="37">
        <f>IF(A184="",0,C184+F184)</f>
        <v>1969.79</v>
      </c>
      <c r="H184" s="37">
        <f>IF(A184="",0,MAX(H183-D184-F184,0))</f>
        <v>142456.77</v>
      </c>
      <c r="I184" s="37">
        <f>IF(A184="",0,I183+E184)</f>
        <v>217018.97000000006</v>
      </c>
    </row>
    <row r="185" ht="26" customHeight="1" spans="1:9" x14ac:dyDescent="0.25">
      <c r="A185" s="32">
        <f>IF(H184&gt;0,181,"")</f>
        <v>181</v>
      </c>
      <c r="B185" s="33">
        <f>IF(A185="","",DATE(YEAR('Mortgage Setup'!B8),MONTH('Mortgage Setup'!B8)+180,DAY('Mortgage Setup'!B8)))</f>
        <v>51502</v>
      </c>
      <c r="C185" s="34">
        <f>IF(A185="",0,IF(H184&lt;=0,0,MIN('Mortgage Setup'!B12,H184*(1+'Mortgage Setup'!B6/12))))</f>
        <v>1769.79</v>
      </c>
      <c r="D185" s="34">
        <f>IF(A185="",0,IF(H184&lt;=0,0,MIN(C185-E185,H184)))</f>
        <v>998.15</v>
      </c>
      <c r="E185" s="34">
        <f>IF(A185="",0,IF(H184&lt;=0,0,ROUND(H184*('Mortgage Setup'!B6/12),2)))</f>
        <v>771.64</v>
      </c>
      <c r="F185" s="34">
        <f>IF(A185="",0,IF(H184&lt;=0,0,MIN('Mortgage Setup'!B9,MAX(H184-D185,0))))</f>
        <v>200</v>
      </c>
      <c r="G185" s="34">
        <f>IF(A185="",0,C185+F185)</f>
        <v>1969.79</v>
      </c>
      <c r="H185" s="34">
        <f>IF(A185="",0,MAX(H184-D185-F185,0))</f>
        <v>141258.62</v>
      </c>
      <c r="I185" s="34">
        <f>IF(A185="",0,I184+E185)</f>
        <v>217790.61000000007</v>
      </c>
    </row>
    <row r="186" ht="26" customHeight="1" spans="1:9" x14ac:dyDescent="0.25">
      <c r="A186" s="35">
        <f>IF(H185&gt;0,182,"")</f>
        <v>182</v>
      </c>
      <c r="B186" s="36">
        <f>IF(A186="","",DATE(YEAR('Mortgage Setup'!B8),MONTH('Mortgage Setup'!B8)+181,DAY('Mortgage Setup'!B8)))</f>
        <v>51533</v>
      </c>
      <c r="C186" s="37">
        <f>IF(A186="",0,IF(H185&lt;=0,0,MIN('Mortgage Setup'!B12,H185*(1+'Mortgage Setup'!B6/12))))</f>
        <v>1769.79</v>
      </c>
      <c r="D186" s="37">
        <f>IF(A186="",0,IF(H185&lt;=0,0,MIN(C186-E186,H185)))</f>
        <v>1004.64</v>
      </c>
      <c r="E186" s="37">
        <f>IF(A186="",0,IF(H185&lt;=0,0,ROUND(H185*('Mortgage Setup'!B6/12),2)))</f>
        <v>765.15</v>
      </c>
      <c r="F186" s="37">
        <f>IF(A186="",0,IF(H185&lt;=0,0,MIN('Mortgage Setup'!B9,MAX(H185-D186,0))))</f>
        <v>200</v>
      </c>
      <c r="G186" s="37">
        <f>IF(A186="",0,C186+F186)</f>
        <v>1969.79</v>
      </c>
      <c r="H186" s="37">
        <f>IF(A186="",0,MAX(H185-D186-F186,0))</f>
        <v>140053.98</v>
      </c>
      <c r="I186" s="37">
        <f>IF(A186="",0,I185+E186)</f>
        <v>218555.76000000007</v>
      </c>
    </row>
    <row r="187" ht="26" customHeight="1" spans="1:9" x14ac:dyDescent="0.25">
      <c r="A187" s="32">
        <f>IF(H186&gt;0,183,"")</f>
        <v>183</v>
      </c>
      <c r="B187" s="33">
        <f>IF(A187="","",DATE(YEAR('Mortgage Setup'!B8),MONTH('Mortgage Setup'!B8)+182,DAY('Mortgage Setup'!B8)))</f>
        <v>51561</v>
      </c>
      <c r="C187" s="34">
        <f>IF(A187="",0,IF(H186&lt;=0,0,MIN('Mortgage Setup'!B12,H186*(1+'Mortgage Setup'!B6/12))))</f>
        <v>1769.79</v>
      </c>
      <c r="D187" s="34">
        <f>IF(A187="",0,IF(H186&lt;=0,0,MIN(C187-E187,H186)))</f>
        <v>1011.16</v>
      </c>
      <c r="E187" s="34">
        <f>IF(A187="",0,IF(H186&lt;=0,0,ROUND(H186*('Mortgage Setup'!B6/12),2)))</f>
        <v>758.63</v>
      </c>
      <c r="F187" s="34">
        <f>IF(A187="",0,IF(H186&lt;=0,0,MIN('Mortgage Setup'!B9,MAX(H186-D187,0))))</f>
        <v>200</v>
      </c>
      <c r="G187" s="34">
        <f>IF(A187="",0,C187+F187)</f>
        <v>1969.79</v>
      </c>
      <c r="H187" s="34">
        <f>IF(A187="",0,MAX(H186-D187-F187,0))</f>
        <v>138842.82</v>
      </c>
      <c r="I187" s="34">
        <f>IF(A187="",0,I186+E187)</f>
        <v>219314.39000000007</v>
      </c>
    </row>
    <row r="188" ht="26" customHeight="1" spans="1:9" x14ac:dyDescent="0.25">
      <c r="A188" s="35">
        <f>IF(H187&gt;0,184,"")</f>
        <v>184</v>
      </c>
      <c r="B188" s="36">
        <f>IF(A188="","",DATE(YEAR('Mortgage Setup'!B8),MONTH('Mortgage Setup'!B8)+183,DAY('Mortgage Setup'!B8)))</f>
        <v>51592</v>
      </c>
      <c r="C188" s="37">
        <f>IF(A188="",0,IF(H187&lt;=0,0,MIN('Mortgage Setup'!B12,H187*(1+'Mortgage Setup'!B6/12))))</f>
        <v>1769.79</v>
      </c>
      <c r="D188" s="37">
        <f>IF(A188="",0,IF(H187&lt;=0,0,MIN(C188-E188,H187)))</f>
        <v>1017.72</v>
      </c>
      <c r="E188" s="37">
        <f>IF(A188="",0,IF(H187&lt;=0,0,ROUND(H187*('Mortgage Setup'!B6/12),2)))</f>
        <v>752.07</v>
      </c>
      <c r="F188" s="37">
        <f>IF(A188="",0,IF(H187&lt;=0,0,MIN('Mortgage Setup'!B9,MAX(H187-D188,0))))</f>
        <v>200</v>
      </c>
      <c r="G188" s="37">
        <f>IF(A188="",0,C188+F188)</f>
        <v>1969.79</v>
      </c>
      <c r="H188" s="37">
        <f>IF(A188="",0,MAX(H187-D188-F188,0))</f>
        <v>137625.1</v>
      </c>
      <c r="I188" s="37">
        <f>IF(A188="",0,I187+E188)</f>
        <v>220066.46000000008</v>
      </c>
    </row>
    <row r="189" ht="26" customHeight="1" spans="1:9" x14ac:dyDescent="0.25">
      <c r="A189" s="32">
        <f>IF(H188&gt;0,185,"")</f>
        <v>185</v>
      </c>
      <c r="B189" s="33">
        <f>IF(A189="","",DATE(YEAR('Mortgage Setup'!B8),MONTH('Mortgage Setup'!B8)+184,DAY('Mortgage Setup'!B8)))</f>
        <v>51622</v>
      </c>
      <c r="C189" s="34">
        <f>IF(A189="",0,IF(H188&lt;=0,0,MIN('Mortgage Setup'!B12,H188*(1+'Mortgage Setup'!B6/12))))</f>
        <v>1769.79</v>
      </c>
      <c r="D189" s="34">
        <f>IF(A189="",0,IF(H188&lt;=0,0,MIN(C189-E189,H188)))</f>
        <v>1024.32</v>
      </c>
      <c r="E189" s="34">
        <f>IF(A189="",0,IF(H188&lt;=0,0,ROUND(H188*('Mortgage Setup'!B6/12),2)))</f>
        <v>745.47</v>
      </c>
      <c r="F189" s="34">
        <f>IF(A189="",0,IF(H188&lt;=0,0,MIN('Mortgage Setup'!B9,MAX(H188-D189,0))))</f>
        <v>200</v>
      </c>
      <c r="G189" s="34">
        <f>IF(A189="",0,C189+F189)</f>
        <v>1969.79</v>
      </c>
      <c r="H189" s="34">
        <f>IF(A189="",0,MAX(H188-D189-F189,0))</f>
        <v>136400.78</v>
      </c>
      <c r="I189" s="34">
        <f>IF(A189="",0,I188+E189)</f>
        <v>220811.93000000008</v>
      </c>
    </row>
    <row r="190" ht="26" customHeight="1" spans="1:9" x14ac:dyDescent="0.25">
      <c r="A190" s="35">
        <f>IF(H189&gt;0,186,"")</f>
        <v>186</v>
      </c>
      <c r="B190" s="36">
        <f>IF(A190="","",DATE(YEAR('Mortgage Setup'!B8),MONTH('Mortgage Setup'!B8)+185,DAY('Mortgage Setup'!B8)))</f>
        <v>51653</v>
      </c>
      <c r="C190" s="37">
        <f>IF(A190="",0,IF(H189&lt;=0,0,MIN('Mortgage Setup'!B12,H189*(1+'Mortgage Setup'!B6/12))))</f>
        <v>1769.79</v>
      </c>
      <c r="D190" s="37">
        <f>IF(A190="",0,IF(H189&lt;=0,0,MIN(C190-E190,H189)))</f>
        <v>1030.95</v>
      </c>
      <c r="E190" s="37">
        <f>IF(A190="",0,IF(H189&lt;=0,0,ROUND(H189*('Mortgage Setup'!B6/12),2)))</f>
        <v>738.84</v>
      </c>
      <c r="F190" s="37">
        <f>IF(A190="",0,IF(H189&lt;=0,0,MIN('Mortgage Setup'!B9,MAX(H189-D190,0))))</f>
        <v>200</v>
      </c>
      <c r="G190" s="37">
        <f>IF(A190="",0,C190+F190)</f>
        <v>1969.79</v>
      </c>
      <c r="H190" s="37">
        <f>IF(A190="",0,MAX(H189-D190-F190,0))</f>
        <v>135169.83</v>
      </c>
      <c r="I190" s="37">
        <f>IF(A190="",0,I189+E190)</f>
        <v>221550.77000000008</v>
      </c>
    </row>
    <row r="191" ht="26" customHeight="1" spans="1:9" x14ac:dyDescent="0.25">
      <c r="A191" s="32">
        <f>IF(H190&gt;0,187,"")</f>
        <v>187</v>
      </c>
      <c r="B191" s="33">
        <f>IF(A191="","",DATE(YEAR('Mortgage Setup'!B8),MONTH('Mortgage Setup'!B8)+186,DAY('Mortgage Setup'!B8)))</f>
        <v>51683</v>
      </c>
      <c r="C191" s="34">
        <f>IF(A191="",0,IF(H190&lt;=0,0,MIN('Mortgage Setup'!B12,H190*(1+'Mortgage Setup'!B6/12))))</f>
        <v>1769.79</v>
      </c>
      <c r="D191" s="34">
        <f>IF(A191="",0,IF(H190&lt;=0,0,MIN(C191-E191,H190)))</f>
        <v>1037.62</v>
      </c>
      <c r="E191" s="34">
        <f>IF(A191="",0,IF(H190&lt;=0,0,ROUND(H190*('Mortgage Setup'!B6/12),2)))</f>
        <v>732.17</v>
      </c>
      <c r="F191" s="34">
        <f>IF(A191="",0,IF(H190&lt;=0,0,MIN('Mortgage Setup'!B9,MAX(H190-D191,0))))</f>
        <v>200</v>
      </c>
      <c r="G191" s="34">
        <f>IF(A191="",0,C191+F191)</f>
        <v>1969.79</v>
      </c>
      <c r="H191" s="34">
        <f>IF(A191="",0,MAX(H190-D191-F191,0))</f>
        <v>133932.21</v>
      </c>
      <c r="I191" s="34">
        <f>IF(A191="",0,I190+E191)</f>
        <v>222282.9400000001</v>
      </c>
    </row>
    <row r="192" ht="26" customHeight="1" spans="1:9" x14ac:dyDescent="0.25">
      <c r="A192" s="35">
        <f>IF(H191&gt;0,188,"")</f>
        <v>188</v>
      </c>
      <c r="B192" s="36">
        <f>IF(A192="","",DATE(YEAR('Mortgage Setup'!B8),MONTH('Mortgage Setup'!B8)+187,DAY('Mortgage Setup'!B8)))</f>
        <v>51714</v>
      </c>
      <c r="C192" s="37">
        <f>IF(A192="",0,IF(H191&lt;=0,0,MIN('Mortgage Setup'!B12,H191*(1+'Mortgage Setup'!B6/12))))</f>
        <v>1769.79</v>
      </c>
      <c r="D192" s="37">
        <f>IF(A192="",0,IF(H191&lt;=0,0,MIN(C192-E192,H191)))</f>
        <v>1044.32</v>
      </c>
      <c r="E192" s="37">
        <f>IF(A192="",0,IF(H191&lt;=0,0,ROUND(H191*('Mortgage Setup'!B6/12),2)))</f>
        <v>725.47</v>
      </c>
      <c r="F192" s="37">
        <f>IF(A192="",0,IF(H191&lt;=0,0,MIN('Mortgage Setup'!B9,MAX(H191-D192,0))))</f>
        <v>200</v>
      </c>
      <c r="G192" s="37">
        <f>IF(A192="",0,C192+F192)</f>
        <v>1969.79</v>
      </c>
      <c r="H192" s="37">
        <f>IF(A192="",0,MAX(H191-D192-F192,0))</f>
        <v>132687.89</v>
      </c>
      <c r="I192" s="37">
        <f>IF(A192="",0,I191+E192)</f>
        <v>223008.4100000001</v>
      </c>
    </row>
    <row r="193" ht="26" customHeight="1" spans="1:9" x14ac:dyDescent="0.25">
      <c r="A193" s="32">
        <f>IF(H192&gt;0,189,"")</f>
        <v>189</v>
      </c>
      <c r="B193" s="33">
        <f>IF(A193="","",DATE(YEAR('Mortgage Setup'!B8),MONTH('Mortgage Setup'!B8)+188,DAY('Mortgage Setup'!B8)))</f>
        <v>51745</v>
      </c>
      <c r="C193" s="34">
        <f>IF(A193="",0,IF(H192&lt;=0,0,MIN('Mortgage Setup'!B12,H192*(1+'Mortgage Setup'!B6/12))))</f>
        <v>1769.79</v>
      </c>
      <c r="D193" s="34">
        <f>IF(A193="",0,IF(H192&lt;=0,0,MIN(C193-E193,H192)))</f>
        <v>1051.06</v>
      </c>
      <c r="E193" s="34">
        <f>IF(A193="",0,IF(H192&lt;=0,0,ROUND(H192*('Mortgage Setup'!B6/12),2)))</f>
        <v>718.73</v>
      </c>
      <c r="F193" s="34">
        <f>IF(A193="",0,IF(H192&lt;=0,0,MIN('Mortgage Setup'!B9,MAX(H192-D193,0))))</f>
        <v>200</v>
      </c>
      <c r="G193" s="34">
        <f>IF(A193="",0,C193+F193)</f>
        <v>1969.79</v>
      </c>
      <c r="H193" s="34">
        <f>IF(A193="",0,MAX(H192-D193-F193,0))</f>
        <v>131436.83</v>
      </c>
      <c r="I193" s="34">
        <f>IF(A193="",0,I192+E193)</f>
        <v>223727.1400000001</v>
      </c>
    </row>
    <row r="194" ht="26" customHeight="1" spans="1:9" x14ac:dyDescent="0.25">
      <c r="A194" s="35">
        <f>IF(H193&gt;0,190,"")</f>
        <v>190</v>
      </c>
      <c r="B194" s="36">
        <f>IF(A194="","",DATE(YEAR('Mortgage Setup'!B8),MONTH('Mortgage Setup'!B8)+189,DAY('Mortgage Setup'!B8)))</f>
        <v>51775</v>
      </c>
      <c r="C194" s="37">
        <f>IF(A194="",0,IF(H193&lt;=0,0,MIN('Mortgage Setup'!B12,H193*(1+'Mortgage Setup'!B6/12))))</f>
        <v>1769.79</v>
      </c>
      <c r="D194" s="37">
        <f>IF(A194="",0,IF(H193&lt;=0,0,MIN(C194-E194,H193)))</f>
        <v>1057.84</v>
      </c>
      <c r="E194" s="37">
        <f>IF(A194="",0,IF(H193&lt;=0,0,ROUND(H193*('Mortgage Setup'!B6/12),2)))</f>
        <v>711.95</v>
      </c>
      <c r="F194" s="37">
        <f>IF(A194="",0,IF(H193&lt;=0,0,MIN('Mortgage Setup'!B9,MAX(H193-D194,0))))</f>
        <v>200</v>
      </c>
      <c r="G194" s="37">
        <f>IF(A194="",0,C194+F194)</f>
        <v>1969.79</v>
      </c>
      <c r="H194" s="37">
        <f>IF(A194="",0,MAX(H193-D194-F194,0))</f>
        <v>130178.99</v>
      </c>
      <c r="I194" s="37">
        <f>IF(A194="",0,I193+E194)</f>
        <v>224439.0900000001</v>
      </c>
    </row>
    <row r="195" ht="26" customHeight="1" spans="1:9" x14ac:dyDescent="0.25">
      <c r="A195" s="32">
        <f>IF(H194&gt;0,191,"")</f>
        <v>191</v>
      </c>
      <c r="B195" s="33">
        <f>IF(A195="","",DATE(YEAR('Mortgage Setup'!B8),MONTH('Mortgage Setup'!B8)+190,DAY('Mortgage Setup'!B8)))</f>
        <v>51806</v>
      </c>
      <c r="C195" s="34">
        <f>IF(A195="",0,IF(H194&lt;=0,0,MIN('Mortgage Setup'!B12,H194*(1+'Mortgage Setup'!B6/12))))</f>
        <v>1769.79</v>
      </c>
      <c r="D195" s="34">
        <f>IF(A195="",0,IF(H194&lt;=0,0,MIN(C195-E195,H194)))</f>
        <v>1064.65</v>
      </c>
      <c r="E195" s="34">
        <f>IF(A195="",0,IF(H194&lt;=0,0,ROUND(H194*('Mortgage Setup'!B6/12),2)))</f>
        <v>705.14</v>
      </c>
      <c r="F195" s="34">
        <f>IF(A195="",0,IF(H194&lt;=0,0,MIN('Mortgage Setup'!B9,MAX(H194-D195,0))))</f>
        <v>200</v>
      </c>
      <c r="G195" s="34">
        <f>IF(A195="",0,C195+F195)</f>
        <v>1969.79</v>
      </c>
      <c r="H195" s="34">
        <f>IF(A195="",0,MAX(H194-D195-F195,0))</f>
        <v>128914.34</v>
      </c>
      <c r="I195" s="34">
        <f>IF(A195="",0,I194+E195)</f>
        <v>225144.23000000013</v>
      </c>
    </row>
    <row r="196" ht="26" customHeight="1" spans="1:9" x14ac:dyDescent="0.25">
      <c r="A196" s="35">
        <f>IF(H195&gt;0,192,"")</f>
        <v>192</v>
      </c>
      <c r="B196" s="36">
        <f>IF(A196="","",DATE(YEAR('Mortgage Setup'!B8),MONTH('Mortgage Setup'!B8)+191,DAY('Mortgage Setup'!B8)))</f>
        <v>51836</v>
      </c>
      <c r="C196" s="37">
        <f>IF(A196="",0,IF(H195&lt;=0,0,MIN('Mortgage Setup'!B12,H195*(1+'Mortgage Setup'!B6/12))))</f>
        <v>1769.79</v>
      </c>
      <c r="D196" s="37">
        <f>IF(A196="",0,IF(H195&lt;=0,0,MIN(C196-E196,H195)))</f>
        <v>1071.5</v>
      </c>
      <c r="E196" s="37">
        <f>IF(A196="",0,IF(H195&lt;=0,0,ROUND(H195*('Mortgage Setup'!B6/12),2)))</f>
        <v>698.29</v>
      </c>
      <c r="F196" s="37">
        <f>IF(A196="",0,IF(H195&lt;=0,0,MIN('Mortgage Setup'!B9,MAX(H195-D196,0))))</f>
        <v>200</v>
      </c>
      <c r="G196" s="37">
        <f>IF(A196="",0,C196+F196)</f>
        <v>1969.79</v>
      </c>
      <c r="H196" s="37">
        <f>IF(A196="",0,MAX(H195-D196-F196,0))</f>
        <v>127642.84</v>
      </c>
      <c r="I196" s="37">
        <f>IF(A196="",0,I195+E196)</f>
        <v>225842.52000000014</v>
      </c>
    </row>
    <row r="197" ht="26" customHeight="1" spans="1:9" x14ac:dyDescent="0.25">
      <c r="A197" s="32">
        <f>IF(H196&gt;0,193,"")</f>
        <v>193</v>
      </c>
      <c r="B197" s="33">
        <f>IF(A197="","",DATE(YEAR('Mortgage Setup'!B8),MONTH('Mortgage Setup'!B8)+192,DAY('Mortgage Setup'!B8)))</f>
        <v>51867</v>
      </c>
      <c r="C197" s="34">
        <f>IF(A197="",0,IF(H196&lt;=0,0,MIN('Mortgage Setup'!B12,H196*(1+'Mortgage Setup'!B6/12))))</f>
        <v>1769.79</v>
      </c>
      <c r="D197" s="34">
        <f>IF(A197="",0,IF(H196&lt;=0,0,MIN(C197-E197,H196)))</f>
        <v>1078.39</v>
      </c>
      <c r="E197" s="34">
        <f>IF(A197="",0,IF(H196&lt;=0,0,ROUND(H196*('Mortgage Setup'!B6/12),2)))</f>
        <v>691.4</v>
      </c>
      <c r="F197" s="34">
        <f>IF(A197="",0,IF(H196&lt;=0,0,MIN('Mortgage Setup'!B9,MAX(H196-D197,0))))</f>
        <v>200</v>
      </c>
      <c r="G197" s="34">
        <f>IF(A197="",0,C197+F197)</f>
        <v>1969.79</v>
      </c>
      <c r="H197" s="34">
        <f>IF(A197="",0,MAX(H196-D197-F197,0))</f>
        <v>126364.45</v>
      </c>
      <c r="I197" s="34">
        <f>IF(A197="",0,I196+E197)</f>
        <v>226533.92000000013</v>
      </c>
    </row>
    <row r="198" ht="26" customHeight="1" spans="1:9" x14ac:dyDescent="0.25">
      <c r="A198" s="35">
        <f>IF(H197&gt;0,194,"")</f>
        <v>194</v>
      </c>
      <c r="B198" s="36">
        <f>IF(A198="","",DATE(YEAR('Mortgage Setup'!B8),MONTH('Mortgage Setup'!B8)+193,DAY('Mortgage Setup'!B8)))</f>
        <v>51898</v>
      </c>
      <c r="C198" s="37">
        <f>IF(A198="",0,IF(H197&lt;=0,0,MIN('Mortgage Setup'!B12,H197*(1+'Mortgage Setup'!B6/12))))</f>
        <v>1769.79</v>
      </c>
      <c r="D198" s="37">
        <f>IF(A198="",0,IF(H197&lt;=0,0,MIN(C198-E198,H197)))</f>
        <v>1085.32</v>
      </c>
      <c r="E198" s="37">
        <f>IF(A198="",0,IF(H197&lt;=0,0,ROUND(H197*('Mortgage Setup'!B6/12),2)))</f>
        <v>684.47</v>
      </c>
      <c r="F198" s="37">
        <f>IF(A198="",0,IF(H197&lt;=0,0,MIN('Mortgage Setup'!B9,MAX(H197-D198,0))))</f>
        <v>200</v>
      </c>
      <c r="G198" s="37">
        <f>IF(A198="",0,C198+F198)</f>
        <v>1969.79</v>
      </c>
      <c r="H198" s="37">
        <f>IF(A198="",0,MAX(H197-D198-F198,0))</f>
        <v>125079.13</v>
      </c>
      <c r="I198" s="37">
        <f>IF(A198="",0,I197+E198)</f>
        <v>227218.39000000013</v>
      </c>
    </row>
    <row r="199" ht="26" customHeight="1" spans="1:9" x14ac:dyDescent="0.25">
      <c r="A199" s="32">
        <f>IF(H198&gt;0,195,"")</f>
        <v>195</v>
      </c>
      <c r="B199" s="33">
        <f>IF(A199="","",DATE(YEAR('Mortgage Setup'!B8),MONTH('Mortgage Setup'!B8)+194,DAY('Mortgage Setup'!B8)))</f>
        <v>51926</v>
      </c>
      <c r="C199" s="34">
        <f>IF(A199="",0,IF(H198&lt;=0,0,MIN('Mortgage Setup'!B12,H198*(1+'Mortgage Setup'!B6/12))))</f>
        <v>1769.79</v>
      </c>
      <c r="D199" s="34">
        <f>IF(A199="",0,IF(H198&lt;=0,0,MIN(C199-E199,H198)))</f>
        <v>1092.28</v>
      </c>
      <c r="E199" s="34">
        <f>IF(A199="",0,IF(H198&lt;=0,0,ROUND(H198*('Mortgage Setup'!B6/12),2)))</f>
        <v>677.51</v>
      </c>
      <c r="F199" s="34">
        <f>IF(A199="",0,IF(H198&lt;=0,0,MIN('Mortgage Setup'!B9,MAX(H198-D199,0))))</f>
        <v>200</v>
      </c>
      <c r="G199" s="34">
        <f>IF(A199="",0,C199+F199)</f>
        <v>1969.79</v>
      </c>
      <c r="H199" s="34">
        <f>IF(A199="",0,MAX(H198-D199-F199,0))</f>
        <v>123786.85</v>
      </c>
      <c r="I199" s="34">
        <f>IF(A199="",0,I198+E199)</f>
        <v>227895.90000000014</v>
      </c>
    </row>
    <row r="200" ht="26" customHeight="1" spans="1:9" x14ac:dyDescent="0.25">
      <c r="A200" s="35">
        <f>IF(H199&gt;0,196,"")</f>
        <v>196</v>
      </c>
      <c r="B200" s="36">
        <f>IF(A200="","",DATE(YEAR('Mortgage Setup'!B8),MONTH('Mortgage Setup'!B8)+195,DAY('Mortgage Setup'!B8)))</f>
        <v>51957</v>
      </c>
      <c r="C200" s="37">
        <f>IF(A200="",0,IF(H199&lt;=0,0,MIN('Mortgage Setup'!B12,H199*(1+'Mortgage Setup'!B6/12))))</f>
        <v>1769.79</v>
      </c>
      <c r="D200" s="37">
        <f>IF(A200="",0,IF(H199&lt;=0,0,MIN(C200-E200,H199)))</f>
        <v>1099.28</v>
      </c>
      <c r="E200" s="37">
        <f>IF(A200="",0,IF(H199&lt;=0,0,ROUND(H199*('Mortgage Setup'!B6/12),2)))</f>
        <v>670.51</v>
      </c>
      <c r="F200" s="37">
        <f>IF(A200="",0,IF(H199&lt;=0,0,MIN('Mortgage Setup'!B9,MAX(H199-D200,0))))</f>
        <v>200</v>
      </c>
      <c r="G200" s="37">
        <f>IF(A200="",0,C200+F200)</f>
        <v>1969.79</v>
      </c>
      <c r="H200" s="37">
        <f>IF(A200="",0,MAX(H199-D200-F200,0))</f>
        <v>122487.57</v>
      </c>
      <c r="I200" s="37">
        <f>IF(A200="",0,I199+E200)</f>
        <v>228566.41000000015</v>
      </c>
    </row>
    <row r="201" ht="26" customHeight="1" spans="1:9" x14ac:dyDescent="0.25">
      <c r="A201" s="32">
        <f>IF(H200&gt;0,197,"")</f>
        <v>197</v>
      </c>
      <c r="B201" s="33">
        <f>IF(A201="","",DATE(YEAR('Mortgage Setup'!B8),MONTH('Mortgage Setup'!B8)+196,DAY('Mortgage Setup'!B8)))</f>
        <v>51987</v>
      </c>
      <c r="C201" s="34">
        <f>IF(A201="",0,IF(H200&lt;=0,0,MIN('Mortgage Setup'!B12,H200*(1+'Mortgage Setup'!B6/12))))</f>
        <v>1769.79</v>
      </c>
      <c r="D201" s="34">
        <f>IF(A201="",0,IF(H200&lt;=0,0,MIN(C201-E201,H200)))</f>
        <v>1106.32</v>
      </c>
      <c r="E201" s="34">
        <f>IF(A201="",0,IF(H200&lt;=0,0,ROUND(H200*('Mortgage Setup'!B6/12),2)))</f>
        <v>663.47</v>
      </c>
      <c r="F201" s="34">
        <f>IF(A201="",0,IF(H200&lt;=0,0,MIN('Mortgage Setup'!B9,MAX(H200-D201,0))))</f>
        <v>200</v>
      </c>
      <c r="G201" s="34">
        <f>IF(A201="",0,C201+F201)</f>
        <v>1969.79</v>
      </c>
      <c r="H201" s="34">
        <f>IF(A201="",0,MAX(H200-D201-F201,0))</f>
        <v>121181.25</v>
      </c>
      <c r="I201" s="34">
        <f>IF(A201="",0,I200+E201)</f>
        <v>229229.88000000015</v>
      </c>
    </row>
    <row r="202" ht="26" customHeight="1" spans="1:9" x14ac:dyDescent="0.25">
      <c r="A202" s="35">
        <f>IF(H201&gt;0,198,"")</f>
        <v>198</v>
      </c>
      <c r="B202" s="36">
        <f>IF(A202="","",DATE(YEAR('Mortgage Setup'!B8),MONTH('Mortgage Setup'!B8)+197,DAY('Mortgage Setup'!B8)))</f>
        <v>52018</v>
      </c>
      <c r="C202" s="37">
        <f>IF(A202="",0,IF(H201&lt;=0,0,MIN('Mortgage Setup'!B12,H201*(1+'Mortgage Setup'!B6/12))))</f>
        <v>1769.79</v>
      </c>
      <c r="D202" s="37">
        <f>IF(A202="",0,IF(H201&lt;=0,0,MIN(C202-E202,H201)))</f>
        <v>1113.39</v>
      </c>
      <c r="E202" s="37">
        <f>IF(A202="",0,IF(H201&lt;=0,0,ROUND(H201*('Mortgage Setup'!B6/12),2)))</f>
        <v>656.4</v>
      </c>
      <c r="F202" s="37">
        <f>IF(A202="",0,IF(H201&lt;=0,0,MIN('Mortgage Setup'!B9,MAX(H201-D202,0))))</f>
        <v>200</v>
      </c>
      <c r="G202" s="37">
        <f>IF(A202="",0,C202+F202)</f>
        <v>1969.79</v>
      </c>
      <c r="H202" s="37">
        <f>IF(A202="",0,MAX(H201-D202-F202,0))</f>
        <v>119867.86</v>
      </c>
      <c r="I202" s="37">
        <f>IF(A202="",0,I201+E202)</f>
        <v>229886.28000000014</v>
      </c>
    </row>
    <row r="203" ht="26" customHeight="1" spans="1:9" x14ac:dyDescent="0.25">
      <c r="A203" s="32">
        <f>IF(H202&gt;0,199,"")</f>
        <v>199</v>
      </c>
      <c r="B203" s="33">
        <f>IF(A203="","",DATE(YEAR('Mortgage Setup'!B8),MONTH('Mortgage Setup'!B8)+198,DAY('Mortgage Setup'!B8)))</f>
        <v>52048</v>
      </c>
      <c r="C203" s="34">
        <f>IF(A203="",0,IF(H202&lt;=0,0,MIN('Mortgage Setup'!B12,H202*(1+'Mortgage Setup'!B6/12))))</f>
        <v>1769.79</v>
      </c>
      <c r="D203" s="34">
        <f>IF(A203="",0,IF(H202&lt;=0,0,MIN(C203-E203,H202)))</f>
        <v>1120.51</v>
      </c>
      <c r="E203" s="34">
        <f>IF(A203="",0,IF(H202&lt;=0,0,ROUND(H202*('Mortgage Setup'!B6/12),2)))</f>
        <v>649.28</v>
      </c>
      <c r="F203" s="34">
        <f>IF(A203="",0,IF(H202&lt;=0,0,MIN('Mortgage Setup'!B9,MAX(H202-D203,0))))</f>
        <v>200</v>
      </c>
      <c r="G203" s="34">
        <f>IF(A203="",0,C203+F203)</f>
        <v>1969.79</v>
      </c>
      <c r="H203" s="34">
        <f>IF(A203="",0,MAX(H202-D203-F203,0))</f>
        <v>118547.35</v>
      </c>
      <c r="I203" s="34">
        <f>IF(A203="",0,I202+E203)</f>
        <v>230535.56000000014</v>
      </c>
    </row>
    <row r="204" ht="26" customHeight="1" spans="1:9" x14ac:dyDescent="0.25">
      <c r="A204" s="35">
        <f>IF(H203&gt;0,200,"")</f>
        <v>200</v>
      </c>
      <c r="B204" s="36">
        <f>IF(A204="","",DATE(YEAR('Mortgage Setup'!B8),MONTH('Mortgage Setup'!B8)+199,DAY('Mortgage Setup'!B8)))</f>
        <v>52079</v>
      </c>
      <c r="C204" s="37">
        <f>IF(A204="",0,IF(H203&lt;=0,0,MIN('Mortgage Setup'!B12,H203*(1+'Mortgage Setup'!B6/12))))</f>
        <v>1769.79</v>
      </c>
      <c r="D204" s="37">
        <f>IF(A204="",0,IF(H203&lt;=0,0,MIN(C204-E204,H203)))</f>
        <v>1127.66</v>
      </c>
      <c r="E204" s="37">
        <f>IF(A204="",0,IF(H203&lt;=0,0,ROUND(H203*('Mortgage Setup'!B6/12),2)))</f>
        <v>642.13</v>
      </c>
      <c r="F204" s="37">
        <f>IF(A204="",0,IF(H203&lt;=0,0,MIN('Mortgage Setup'!B9,MAX(H203-D204,0))))</f>
        <v>200</v>
      </c>
      <c r="G204" s="37">
        <f>IF(A204="",0,C204+F204)</f>
        <v>1969.79</v>
      </c>
      <c r="H204" s="37">
        <f>IF(A204="",0,MAX(H203-D204-F204,0))</f>
        <v>117219.69</v>
      </c>
      <c r="I204" s="37">
        <f>IF(A204="",0,I203+E204)</f>
        <v>231177.69000000015</v>
      </c>
    </row>
    <row r="205" ht="26" customHeight="1" spans="1:9" x14ac:dyDescent="0.25">
      <c r="A205" s="32">
        <f>IF(H204&gt;0,201,"")</f>
        <v>201</v>
      </c>
      <c r="B205" s="33">
        <f>IF(A205="","",DATE(YEAR('Mortgage Setup'!B8),MONTH('Mortgage Setup'!B8)+200,DAY('Mortgage Setup'!B8)))</f>
        <v>52110</v>
      </c>
      <c r="C205" s="34">
        <f>IF(A205="",0,IF(H204&lt;=0,0,MIN('Mortgage Setup'!B12,H204*(1+'Mortgage Setup'!B6/12))))</f>
        <v>1769.79</v>
      </c>
      <c r="D205" s="34">
        <f>IF(A205="",0,IF(H204&lt;=0,0,MIN(C205-E205,H204)))</f>
        <v>1134.85</v>
      </c>
      <c r="E205" s="34">
        <f>IF(A205="",0,IF(H204&lt;=0,0,ROUND(H204*('Mortgage Setup'!B6/12),2)))</f>
        <v>634.94</v>
      </c>
      <c r="F205" s="34">
        <f>IF(A205="",0,IF(H204&lt;=0,0,MIN('Mortgage Setup'!B9,MAX(H204-D205,0))))</f>
        <v>200</v>
      </c>
      <c r="G205" s="34">
        <f>IF(A205="",0,C205+F205)</f>
        <v>1969.79</v>
      </c>
      <c r="H205" s="34">
        <f>IF(A205="",0,MAX(H204-D205-F205,0))</f>
        <v>115884.84</v>
      </c>
      <c r="I205" s="34">
        <f>IF(A205="",0,I204+E205)</f>
        <v>231812.63000000015</v>
      </c>
    </row>
    <row r="206" ht="26" customHeight="1" spans="1:9" x14ac:dyDescent="0.25">
      <c r="A206" s="35">
        <f>IF(H205&gt;0,202,"")</f>
        <v>202</v>
      </c>
      <c r="B206" s="36">
        <f>IF(A206="","",DATE(YEAR('Mortgage Setup'!B8),MONTH('Mortgage Setup'!B8)+201,DAY('Mortgage Setup'!B8)))</f>
        <v>52140</v>
      </c>
      <c r="C206" s="37">
        <f>IF(A206="",0,IF(H205&lt;=0,0,MIN('Mortgage Setup'!B12,H205*(1+'Mortgage Setup'!B6/12))))</f>
        <v>1769.79</v>
      </c>
      <c r="D206" s="37">
        <f>IF(A206="",0,IF(H205&lt;=0,0,MIN(C206-E206,H205)))</f>
        <v>1142.08</v>
      </c>
      <c r="E206" s="37">
        <f>IF(A206="",0,IF(H205&lt;=0,0,ROUND(H205*('Mortgage Setup'!B6/12),2)))</f>
        <v>627.71</v>
      </c>
      <c r="F206" s="37">
        <f>IF(A206="",0,IF(H205&lt;=0,0,MIN('Mortgage Setup'!B9,MAX(H205-D206,0))))</f>
        <v>200</v>
      </c>
      <c r="G206" s="37">
        <f>IF(A206="",0,C206+F206)</f>
        <v>1969.79</v>
      </c>
      <c r="H206" s="37">
        <f>IF(A206="",0,MAX(H205-D206-F206,0))</f>
        <v>114542.76</v>
      </c>
      <c r="I206" s="37">
        <f>IF(A206="",0,I205+E206)</f>
        <v>232440.34000000014</v>
      </c>
    </row>
    <row r="207" ht="26" customHeight="1" spans="1:9" x14ac:dyDescent="0.25">
      <c r="A207" s="32">
        <f>IF(H206&gt;0,203,"")</f>
        <v>203</v>
      </c>
      <c r="B207" s="33">
        <f>IF(A207="","",DATE(YEAR('Mortgage Setup'!B8),MONTH('Mortgage Setup'!B8)+202,DAY('Mortgage Setup'!B8)))</f>
        <v>52171</v>
      </c>
      <c r="C207" s="34">
        <f>IF(A207="",0,IF(H206&lt;=0,0,MIN('Mortgage Setup'!B12,H206*(1+'Mortgage Setup'!B6/12))))</f>
        <v>1769.79</v>
      </c>
      <c r="D207" s="34">
        <f>IF(A207="",0,IF(H206&lt;=0,0,MIN(C207-E207,H206)))</f>
        <v>1149.35</v>
      </c>
      <c r="E207" s="34">
        <f>IF(A207="",0,IF(H206&lt;=0,0,ROUND(H206*('Mortgage Setup'!B6/12),2)))</f>
        <v>620.44</v>
      </c>
      <c r="F207" s="34">
        <f>IF(A207="",0,IF(H206&lt;=0,0,MIN('Mortgage Setup'!B9,MAX(H206-D207,0))))</f>
        <v>200</v>
      </c>
      <c r="G207" s="34">
        <f>IF(A207="",0,C207+F207)</f>
        <v>1969.79</v>
      </c>
      <c r="H207" s="34">
        <f>IF(A207="",0,MAX(H206-D207-F207,0))</f>
        <v>113193.41</v>
      </c>
      <c r="I207" s="34">
        <f>IF(A207="",0,I206+E207)</f>
        <v>233060.78000000014</v>
      </c>
    </row>
    <row r="208" ht="26" customHeight="1" spans="1:9" x14ac:dyDescent="0.25">
      <c r="A208" s="35">
        <f>IF(H207&gt;0,204,"")</f>
        <v>204</v>
      </c>
      <c r="B208" s="36">
        <f>IF(A208="","",DATE(YEAR('Mortgage Setup'!B8),MONTH('Mortgage Setup'!B8)+203,DAY('Mortgage Setup'!B8)))</f>
        <v>52201</v>
      </c>
      <c r="C208" s="37">
        <f>IF(A208="",0,IF(H207&lt;=0,0,MIN('Mortgage Setup'!B12,H207*(1+'Mortgage Setup'!B6/12))))</f>
        <v>1769.79</v>
      </c>
      <c r="D208" s="37">
        <f>IF(A208="",0,IF(H207&lt;=0,0,MIN(C208-E208,H207)))</f>
        <v>1156.66</v>
      </c>
      <c r="E208" s="37">
        <f>IF(A208="",0,IF(H207&lt;=0,0,ROUND(H207*('Mortgage Setup'!B6/12),2)))</f>
        <v>613.13</v>
      </c>
      <c r="F208" s="37">
        <f>IF(A208="",0,IF(H207&lt;=0,0,MIN('Mortgage Setup'!B9,MAX(H207-D208,0))))</f>
        <v>200</v>
      </c>
      <c r="G208" s="37">
        <f>IF(A208="",0,C208+F208)</f>
        <v>1969.79</v>
      </c>
      <c r="H208" s="37">
        <f>IF(A208="",0,MAX(H207-D208-F208,0))</f>
        <v>111836.75</v>
      </c>
      <c r="I208" s="37">
        <f>IF(A208="",0,I207+E208)</f>
        <v>233673.91000000015</v>
      </c>
    </row>
    <row r="209" ht="26" customHeight="1" spans="1:9" x14ac:dyDescent="0.25">
      <c r="A209" s="32">
        <f>IF(H208&gt;0,205,"")</f>
        <v>205</v>
      </c>
      <c r="B209" s="33">
        <f>IF(A209="","",DATE(YEAR('Mortgage Setup'!B8),MONTH('Mortgage Setup'!B8)+204,DAY('Mortgage Setup'!B8)))</f>
        <v>52232</v>
      </c>
      <c r="C209" s="34">
        <f>IF(A209="",0,IF(H208&lt;=0,0,MIN('Mortgage Setup'!B12,H208*(1+'Mortgage Setup'!B6/12))))</f>
        <v>1769.79</v>
      </c>
      <c r="D209" s="34">
        <f>IF(A209="",0,IF(H208&lt;=0,0,MIN(C209-E209,H208)))</f>
        <v>1164.01</v>
      </c>
      <c r="E209" s="34">
        <f>IF(A209="",0,IF(H208&lt;=0,0,ROUND(H208*('Mortgage Setup'!B6/12),2)))</f>
        <v>605.78</v>
      </c>
      <c r="F209" s="34">
        <f>IF(A209="",0,IF(H208&lt;=0,0,MIN('Mortgage Setup'!B9,MAX(H208-D209,0))))</f>
        <v>200</v>
      </c>
      <c r="G209" s="34">
        <f>IF(A209="",0,C209+F209)</f>
        <v>1969.79</v>
      </c>
      <c r="H209" s="34">
        <f>IF(A209="",0,MAX(H208-D209-F209,0))</f>
        <v>110472.74</v>
      </c>
      <c r="I209" s="34">
        <f>IF(A209="",0,I208+E209)</f>
        <v>234279.69000000015</v>
      </c>
    </row>
    <row r="210" ht="26" customHeight="1" spans="1:9" x14ac:dyDescent="0.25">
      <c r="A210" s="35">
        <f>IF(H209&gt;0,206,"")</f>
        <v>206</v>
      </c>
      <c r="B210" s="36">
        <f>IF(A210="","",DATE(YEAR('Mortgage Setup'!B8),MONTH('Mortgage Setup'!B8)+205,DAY('Mortgage Setup'!B8)))</f>
        <v>52263</v>
      </c>
      <c r="C210" s="37">
        <f>IF(A210="",0,IF(H209&lt;=0,0,MIN('Mortgage Setup'!B12,H209*(1+'Mortgage Setup'!B6/12))))</f>
        <v>1769.79</v>
      </c>
      <c r="D210" s="37">
        <f>IF(A210="",0,IF(H209&lt;=0,0,MIN(C210-E210,H209)))</f>
        <v>1171.4</v>
      </c>
      <c r="E210" s="37">
        <f>IF(A210="",0,IF(H209&lt;=0,0,ROUND(H209*('Mortgage Setup'!B6/12),2)))</f>
        <v>598.39</v>
      </c>
      <c r="F210" s="37">
        <f>IF(A210="",0,IF(H209&lt;=0,0,MIN('Mortgage Setup'!B9,MAX(H209-D210,0))))</f>
        <v>200</v>
      </c>
      <c r="G210" s="37">
        <f>IF(A210="",0,C210+F210)</f>
        <v>1969.79</v>
      </c>
      <c r="H210" s="37">
        <f>IF(A210="",0,MAX(H209-D210-F210,0))</f>
        <v>109101.34</v>
      </c>
      <c r="I210" s="37">
        <f>IF(A210="",0,I209+E210)</f>
        <v>234878.08000000016</v>
      </c>
    </row>
    <row r="211" ht="26" customHeight="1" spans="1:9" x14ac:dyDescent="0.25">
      <c r="A211" s="32">
        <f>IF(H210&gt;0,207,"")</f>
        <v>207</v>
      </c>
      <c r="B211" s="33">
        <f>IF(A211="","",DATE(YEAR('Mortgage Setup'!B8),MONTH('Mortgage Setup'!B8)+206,DAY('Mortgage Setup'!B8)))</f>
        <v>52291</v>
      </c>
      <c r="C211" s="34">
        <f>IF(A211="",0,IF(H210&lt;=0,0,MIN('Mortgage Setup'!B12,H210*(1+'Mortgage Setup'!B6/12))))</f>
        <v>1769.79</v>
      </c>
      <c r="D211" s="34">
        <f>IF(A211="",0,IF(H210&lt;=0,0,MIN(C211-E211,H210)))</f>
        <v>1178.82</v>
      </c>
      <c r="E211" s="34">
        <f>IF(A211="",0,IF(H210&lt;=0,0,ROUND(H210*('Mortgage Setup'!B6/12),2)))</f>
        <v>590.97</v>
      </c>
      <c r="F211" s="34">
        <f>IF(A211="",0,IF(H210&lt;=0,0,MIN('Mortgage Setup'!B9,MAX(H210-D211,0))))</f>
        <v>200</v>
      </c>
      <c r="G211" s="34">
        <f>IF(A211="",0,C211+F211)</f>
        <v>1969.79</v>
      </c>
      <c r="H211" s="34">
        <f>IF(A211="",0,MAX(H210-D211-F211,0))</f>
        <v>107722.52</v>
      </c>
      <c r="I211" s="34">
        <f>IF(A211="",0,I210+E211)</f>
        <v>235469.05000000016</v>
      </c>
    </row>
    <row r="212" ht="26" customHeight="1" spans="1:9" x14ac:dyDescent="0.25">
      <c r="A212" s="35">
        <f>IF(H211&gt;0,208,"")</f>
        <v>208</v>
      </c>
      <c r="B212" s="36">
        <f>IF(A212="","",DATE(YEAR('Mortgage Setup'!B8),MONTH('Mortgage Setup'!B8)+207,DAY('Mortgage Setup'!B8)))</f>
        <v>52322</v>
      </c>
      <c r="C212" s="37">
        <f>IF(A212="",0,IF(H211&lt;=0,0,MIN('Mortgage Setup'!B12,H211*(1+'Mortgage Setup'!B6/12))))</f>
        <v>1769.79</v>
      </c>
      <c r="D212" s="37">
        <f>IF(A212="",0,IF(H211&lt;=0,0,MIN(C212-E212,H211)))</f>
        <v>1186.29</v>
      </c>
      <c r="E212" s="37">
        <f>IF(A212="",0,IF(H211&lt;=0,0,ROUND(H211*('Mortgage Setup'!B6/12),2)))</f>
        <v>583.5</v>
      </c>
      <c r="F212" s="37">
        <f>IF(A212="",0,IF(H211&lt;=0,0,MIN('Mortgage Setup'!B9,MAX(H211-D212,0))))</f>
        <v>200</v>
      </c>
      <c r="G212" s="37">
        <f>IF(A212="",0,C212+F212)</f>
        <v>1969.79</v>
      </c>
      <c r="H212" s="37">
        <f>IF(A212="",0,MAX(H211-D212-F212,0))</f>
        <v>106336.23</v>
      </c>
      <c r="I212" s="37">
        <f>IF(A212="",0,I211+E212)</f>
        <v>236052.55000000016</v>
      </c>
    </row>
    <row r="213" ht="26" customHeight="1" spans="1:9" x14ac:dyDescent="0.25">
      <c r="A213" s="32">
        <f>IF(H212&gt;0,209,"")</f>
        <v>209</v>
      </c>
      <c r="B213" s="33">
        <f>IF(A213="","",DATE(YEAR('Mortgage Setup'!B8),MONTH('Mortgage Setup'!B8)+208,DAY('Mortgage Setup'!B8)))</f>
        <v>52352</v>
      </c>
      <c r="C213" s="34">
        <f>IF(A213="",0,IF(H212&lt;=0,0,MIN('Mortgage Setup'!B12,H212*(1+'Mortgage Setup'!B6/12))))</f>
        <v>1769.79</v>
      </c>
      <c r="D213" s="34">
        <f>IF(A213="",0,IF(H212&lt;=0,0,MIN(C213-E213,H212)))</f>
        <v>1193.8</v>
      </c>
      <c r="E213" s="34">
        <f>IF(A213="",0,IF(H212&lt;=0,0,ROUND(H212*('Mortgage Setup'!B6/12),2)))</f>
        <v>575.99</v>
      </c>
      <c r="F213" s="34">
        <f>IF(A213="",0,IF(H212&lt;=0,0,MIN('Mortgage Setup'!B9,MAX(H212-D213,0))))</f>
        <v>200</v>
      </c>
      <c r="G213" s="34">
        <f>IF(A213="",0,C213+F213)</f>
        <v>1969.79</v>
      </c>
      <c r="H213" s="34">
        <f>IF(A213="",0,MAX(H212-D213-F213,0))</f>
        <v>104942.43</v>
      </c>
      <c r="I213" s="34">
        <f>IF(A213="",0,I212+E213)</f>
        <v>236628.54000000015</v>
      </c>
    </row>
    <row r="214" ht="26" customHeight="1" spans="1:9" x14ac:dyDescent="0.25">
      <c r="A214" s="35">
        <f>IF(H213&gt;0,210,"")</f>
        <v>210</v>
      </c>
      <c r="B214" s="36">
        <f>IF(A214="","",DATE(YEAR('Mortgage Setup'!B8),MONTH('Mortgage Setup'!B8)+209,DAY('Mortgage Setup'!B8)))</f>
        <v>52383</v>
      </c>
      <c r="C214" s="37">
        <f>IF(A214="",0,IF(H213&lt;=0,0,MIN('Mortgage Setup'!B12,H213*(1+'Mortgage Setup'!B6/12))))</f>
        <v>1769.79</v>
      </c>
      <c r="D214" s="37">
        <f>IF(A214="",0,IF(H213&lt;=0,0,MIN(C214-E214,H213)))</f>
        <v>1201.35</v>
      </c>
      <c r="E214" s="37">
        <f>IF(A214="",0,IF(H213&lt;=0,0,ROUND(H213*('Mortgage Setup'!B6/12),2)))</f>
        <v>568.44</v>
      </c>
      <c r="F214" s="37">
        <f>IF(A214="",0,IF(H213&lt;=0,0,MIN('Mortgage Setup'!B9,MAX(H213-D214,0))))</f>
        <v>200</v>
      </c>
      <c r="G214" s="37">
        <f>IF(A214="",0,C214+F214)</f>
        <v>1969.79</v>
      </c>
      <c r="H214" s="37">
        <f>IF(A214="",0,MAX(H213-D214-F214,0))</f>
        <v>103541.08</v>
      </c>
      <c r="I214" s="37">
        <f>IF(A214="",0,I213+E214)</f>
        <v>237196.98000000016</v>
      </c>
    </row>
    <row r="215" ht="26" customHeight="1" spans="1:9" x14ac:dyDescent="0.25">
      <c r="A215" s="32">
        <f>IF(H214&gt;0,211,"")</f>
        <v>211</v>
      </c>
      <c r="B215" s="33">
        <f>IF(A215="","",DATE(YEAR('Mortgage Setup'!B8),MONTH('Mortgage Setup'!B8)+210,DAY('Mortgage Setup'!B8)))</f>
        <v>52413</v>
      </c>
      <c r="C215" s="34">
        <f>IF(A215="",0,IF(H214&lt;=0,0,MIN('Mortgage Setup'!B12,H214*(1+'Mortgage Setup'!B6/12))))</f>
        <v>1769.79</v>
      </c>
      <c r="D215" s="34">
        <f>IF(A215="",0,IF(H214&lt;=0,0,MIN(C215-E215,H214)))</f>
        <v>1208.94</v>
      </c>
      <c r="E215" s="34">
        <f>IF(A215="",0,IF(H214&lt;=0,0,ROUND(H214*('Mortgage Setup'!B6/12),2)))</f>
        <v>560.85</v>
      </c>
      <c r="F215" s="34">
        <f>IF(A215="",0,IF(H214&lt;=0,0,MIN('Mortgage Setup'!B9,MAX(H214-D215,0))))</f>
        <v>200</v>
      </c>
      <c r="G215" s="34">
        <f>IF(A215="",0,C215+F215)</f>
        <v>1969.79</v>
      </c>
      <c r="H215" s="34">
        <f>IF(A215="",0,MAX(H214-D215-F215,0))</f>
        <v>102132.14</v>
      </c>
      <c r="I215" s="34">
        <f>IF(A215="",0,I214+E215)</f>
        <v>237757.83000000016</v>
      </c>
    </row>
    <row r="216" ht="26" customHeight="1" spans="1:9" x14ac:dyDescent="0.25">
      <c r="A216" s="35">
        <f>IF(H215&gt;0,212,"")</f>
        <v>212</v>
      </c>
      <c r="B216" s="36">
        <f>IF(A216="","",DATE(YEAR('Mortgage Setup'!B8),MONTH('Mortgage Setup'!B8)+211,DAY('Mortgage Setup'!B8)))</f>
        <v>52444</v>
      </c>
      <c r="C216" s="37">
        <f>IF(A216="",0,IF(H215&lt;=0,0,MIN('Mortgage Setup'!B12,H215*(1+'Mortgage Setup'!B6/12))))</f>
        <v>1769.79</v>
      </c>
      <c r="D216" s="37">
        <f>IF(A216="",0,IF(H215&lt;=0,0,MIN(C216-E216,H215)))</f>
        <v>1216.57</v>
      </c>
      <c r="E216" s="37">
        <f>IF(A216="",0,IF(H215&lt;=0,0,ROUND(H215*('Mortgage Setup'!B6/12),2)))</f>
        <v>553.22</v>
      </c>
      <c r="F216" s="37">
        <f>IF(A216="",0,IF(H215&lt;=0,0,MIN('Mortgage Setup'!B9,MAX(H215-D216,0))))</f>
        <v>200</v>
      </c>
      <c r="G216" s="37">
        <f>IF(A216="",0,C216+F216)</f>
        <v>1969.79</v>
      </c>
      <c r="H216" s="37">
        <f>IF(A216="",0,MAX(H215-D216-F216,0))</f>
        <v>100715.57</v>
      </c>
      <c r="I216" s="37">
        <f>IF(A216="",0,I215+E216)</f>
        <v>238311.05000000016</v>
      </c>
    </row>
    <row r="217" ht="26" customHeight="1" spans="1:9" x14ac:dyDescent="0.25">
      <c r="A217" s="32">
        <f>IF(H216&gt;0,213,"")</f>
        <v>213</v>
      </c>
      <c r="B217" s="33">
        <f>IF(A217="","",DATE(YEAR('Mortgage Setup'!B8),MONTH('Mortgage Setup'!B8)+212,DAY('Mortgage Setup'!B8)))</f>
        <v>52475</v>
      </c>
      <c r="C217" s="34">
        <f>IF(A217="",0,IF(H216&lt;=0,0,MIN('Mortgage Setup'!B12,H216*(1+'Mortgage Setup'!B6/12))))</f>
        <v>1769.79</v>
      </c>
      <c r="D217" s="34">
        <f>IF(A217="",0,IF(H216&lt;=0,0,MIN(C217-E217,H216)))</f>
        <v>1224.25</v>
      </c>
      <c r="E217" s="34">
        <f>IF(A217="",0,IF(H216&lt;=0,0,ROUND(H216*('Mortgage Setup'!B6/12),2)))</f>
        <v>545.54</v>
      </c>
      <c r="F217" s="34">
        <f>IF(A217="",0,IF(H216&lt;=0,0,MIN('Mortgage Setup'!B9,MAX(H216-D217,0))))</f>
        <v>200</v>
      </c>
      <c r="G217" s="34">
        <f>IF(A217="",0,C217+F217)</f>
        <v>1969.79</v>
      </c>
      <c r="H217" s="34">
        <f>IF(A217="",0,MAX(H216-D217-F217,0))</f>
        <v>99291.32</v>
      </c>
      <c r="I217" s="34">
        <f>IF(A217="",0,I216+E217)</f>
        <v>238856.59000000017</v>
      </c>
    </row>
    <row r="218" ht="26" customHeight="1" spans="1:9" x14ac:dyDescent="0.25">
      <c r="A218" s="35">
        <f>IF(H217&gt;0,214,"")</f>
        <v>214</v>
      </c>
      <c r="B218" s="36">
        <f>IF(A218="","",DATE(YEAR('Mortgage Setup'!B8),MONTH('Mortgage Setup'!B8)+213,DAY('Mortgage Setup'!B8)))</f>
        <v>52505</v>
      </c>
      <c r="C218" s="37">
        <f>IF(A218="",0,IF(H217&lt;=0,0,MIN('Mortgage Setup'!B12,H217*(1+'Mortgage Setup'!B6/12))))</f>
        <v>1769.79</v>
      </c>
      <c r="D218" s="37">
        <f>IF(A218="",0,IF(H217&lt;=0,0,MIN(C218-E218,H217)))</f>
        <v>1231.96</v>
      </c>
      <c r="E218" s="37">
        <f>IF(A218="",0,IF(H217&lt;=0,0,ROUND(H217*('Mortgage Setup'!B6/12),2)))</f>
        <v>537.83</v>
      </c>
      <c r="F218" s="37">
        <f>IF(A218="",0,IF(H217&lt;=0,0,MIN('Mortgage Setup'!B9,MAX(H217-D218,0))))</f>
        <v>200</v>
      </c>
      <c r="G218" s="37">
        <f>IF(A218="",0,C218+F218)</f>
        <v>1969.79</v>
      </c>
      <c r="H218" s="37">
        <f>IF(A218="",0,MAX(H217-D218-F218,0))</f>
        <v>97859.36</v>
      </c>
      <c r="I218" s="37">
        <f>IF(A218="",0,I217+E218)</f>
        <v>239394.42000000016</v>
      </c>
    </row>
    <row r="219" ht="26" customHeight="1" spans="1:9" x14ac:dyDescent="0.25">
      <c r="A219" s="32">
        <f>IF(H218&gt;0,215,"")</f>
        <v>215</v>
      </c>
      <c r="B219" s="33">
        <f>IF(A219="","",DATE(YEAR('Mortgage Setup'!B8),MONTH('Mortgage Setup'!B8)+214,DAY('Mortgage Setup'!B8)))</f>
        <v>52536</v>
      </c>
      <c r="C219" s="34">
        <f>IF(A219="",0,IF(H218&lt;=0,0,MIN('Mortgage Setup'!B12,H218*(1+'Mortgage Setup'!B6/12))))</f>
        <v>1769.79</v>
      </c>
      <c r="D219" s="34">
        <f>IF(A219="",0,IF(H218&lt;=0,0,MIN(C219-E219,H218)))</f>
        <v>1239.72</v>
      </c>
      <c r="E219" s="34">
        <f>IF(A219="",0,IF(H218&lt;=0,0,ROUND(H218*('Mortgage Setup'!B6/12),2)))</f>
        <v>530.07</v>
      </c>
      <c r="F219" s="34">
        <f>IF(A219="",0,IF(H218&lt;=0,0,MIN('Mortgage Setup'!B9,MAX(H218-D219,0))))</f>
        <v>200</v>
      </c>
      <c r="G219" s="34">
        <f>IF(A219="",0,C219+F219)</f>
        <v>1969.79</v>
      </c>
      <c r="H219" s="34">
        <f>IF(A219="",0,MAX(H218-D219-F219,0))</f>
        <v>96419.64</v>
      </c>
      <c r="I219" s="34">
        <f>IF(A219="",0,I218+E219)</f>
        <v>239924.49000000017</v>
      </c>
    </row>
    <row r="220" ht="26" customHeight="1" spans="1:9" x14ac:dyDescent="0.25">
      <c r="A220" s="35">
        <f>IF(H219&gt;0,216,"")</f>
        <v>216</v>
      </c>
      <c r="B220" s="36">
        <f>IF(A220="","",DATE(YEAR('Mortgage Setup'!B8),MONTH('Mortgage Setup'!B8)+215,DAY('Mortgage Setup'!B8)))</f>
        <v>52566</v>
      </c>
      <c r="C220" s="37">
        <f>IF(A220="",0,IF(H219&lt;=0,0,MIN('Mortgage Setup'!B12,H219*(1+'Mortgage Setup'!B6/12))))</f>
        <v>1769.79</v>
      </c>
      <c r="D220" s="37">
        <f>IF(A220="",0,IF(H219&lt;=0,0,MIN(C220-E220,H219)))</f>
        <v>1247.52</v>
      </c>
      <c r="E220" s="37">
        <f>IF(A220="",0,IF(H219&lt;=0,0,ROUND(H219*('Mortgage Setup'!B6/12),2)))</f>
        <v>522.27</v>
      </c>
      <c r="F220" s="37">
        <f>IF(A220="",0,IF(H219&lt;=0,0,MIN('Mortgage Setup'!B9,MAX(H219-D220,0))))</f>
        <v>200</v>
      </c>
      <c r="G220" s="37">
        <f>IF(A220="",0,C220+F220)</f>
        <v>1969.79</v>
      </c>
      <c r="H220" s="37">
        <f>IF(A220="",0,MAX(H219-D220-F220,0))</f>
        <v>94972.12</v>
      </c>
      <c r="I220" s="37">
        <f>IF(A220="",0,I219+E220)</f>
        <v>240446.76000000015</v>
      </c>
    </row>
    <row r="221" ht="26" customHeight="1" spans="1:9" x14ac:dyDescent="0.25">
      <c r="A221" s="32">
        <f>IF(H220&gt;0,217,"")</f>
        <v>217</v>
      </c>
      <c r="B221" s="33">
        <f>IF(A221="","",DATE(YEAR('Mortgage Setup'!B8),MONTH('Mortgage Setup'!B8)+216,DAY('Mortgage Setup'!B8)))</f>
        <v>52597</v>
      </c>
      <c r="C221" s="34">
        <f>IF(A221="",0,IF(H220&lt;=0,0,MIN('Mortgage Setup'!B12,H220*(1+'Mortgage Setup'!B6/12))))</f>
        <v>1769.79</v>
      </c>
      <c r="D221" s="34">
        <f>IF(A221="",0,IF(H220&lt;=0,0,MIN(C221-E221,H220)))</f>
        <v>1255.36</v>
      </c>
      <c r="E221" s="34">
        <f>IF(A221="",0,IF(H220&lt;=0,0,ROUND(H220*('Mortgage Setup'!B6/12),2)))</f>
        <v>514.43</v>
      </c>
      <c r="F221" s="34">
        <f>IF(A221="",0,IF(H220&lt;=0,0,MIN('Mortgage Setup'!B9,MAX(H220-D221,0))))</f>
        <v>200</v>
      </c>
      <c r="G221" s="34">
        <f>IF(A221="",0,C221+F221)</f>
        <v>1969.79</v>
      </c>
      <c r="H221" s="34">
        <f>IF(A221="",0,MAX(H220-D221-F221,0))</f>
        <v>93516.76</v>
      </c>
      <c r="I221" s="34">
        <f>IF(A221="",0,I220+E221)</f>
        <v>240961.19000000015</v>
      </c>
    </row>
    <row r="222" ht="26" customHeight="1" spans="1:9" x14ac:dyDescent="0.25">
      <c r="A222" s="35">
        <f>IF(H221&gt;0,218,"")</f>
        <v>218</v>
      </c>
      <c r="B222" s="36">
        <f>IF(A222="","",DATE(YEAR('Mortgage Setup'!B8),MONTH('Mortgage Setup'!B8)+217,DAY('Mortgage Setup'!B8)))</f>
        <v>52628</v>
      </c>
      <c r="C222" s="37">
        <f>IF(A222="",0,IF(H221&lt;=0,0,MIN('Mortgage Setup'!B12,H221*(1+'Mortgage Setup'!B6/12))))</f>
        <v>1769.79</v>
      </c>
      <c r="D222" s="37">
        <f>IF(A222="",0,IF(H221&lt;=0,0,MIN(C222-E222,H221)))</f>
        <v>1263.24</v>
      </c>
      <c r="E222" s="37">
        <f>IF(A222="",0,IF(H221&lt;=0,0,ROUND(H221*('Mortgage Setup'!B6/12),2)))</f>
        <v>506.55</v>
      </c>
      <c r="F222" s="37">
        <f>IF(A222="",0,IF(H221&lt;=0,0,MIN('Mortgage Setup'!B9,MAX(H221-D222,0))))</f>
        <v>200</v>
      </c>
      <c r="G222" s="37">
        <f>IF(A222="",0,C222+F222)</f>
        <v>1969.79</v>
      </c>
      <c r="H222" s="37">
        <f>IF(A222="",0,MAX(H221-D222-F222,0))</f>
        <v>92053.52</v>
      </c>
      <c r="I222" s="37">
        <f>IF(A222="",0,I221+E222)</f>
        <v>241467.74000000014</v>
      </c>
    </row>
    <row r="223" ht="26" customHeight="1" spans="1:9" x14ac:dyDescent="0.25">
      <c r="A223" s="32">
        <f>IF(H222&gt;0,219,"")</f>
        <v>219</v>
      </c>
      <c r="B223" s="33">
        <f>IF(A223="","",DATE(YEAR('Mortgage Setup'!B8),MONTH('Mortgage Setup'!B8)+218,DAY('Mortgage Setup'!B8)))</f>
        <v>52657</v>
      </c>
      <c r="C223" s="34">
        <f>IF(A223="",0,IF(H222&lt;=0,0,MIN('Mortgage Setup'!B12,H222*(1+'Mortgage Setup'!B6/12))))</f>
        <v>1769.79</v>
      </c>
      <c r="D223" s="34">
        <f>IF(A223="",0,IF(H222&lt;=0,0,MIN(C223-E223,H222)))</f>
        <v>1271.17</v>
      </c>
      <c r="E223" s="34">
        <f>IF(A223="",0,IF(H222&lt;=0,0,ROUND(H222*('Mortgage Setup'!B6/12),2)))</f>
        <v>498.62</v>
      </c>
      <c r="F223" s="34">
        <f>IF(A223="",0,IF(H222&lt;=0,0,MIN('Mortgage Setup'!B9,MAX(H222-D223,0))))</f>
        <v>200</v>
      </c>
      <c r="G223" s="34">
        <f>IF(A223="",0,C223+F223)</f>
        <v>1969.79</v>
      </c>
      <c r="H223" s="34">
        <f>IF(A223="",0,MAX(H222-D223-F223,0))</f>
        <v>90582.35</v>
      </c>
      <c r="I223" s="34">
        <f>IF(A223="",0,I222+E223)</f>
        <v>241966.36000000013</v>
      </c>
    </row>
    <row r="224" ht="26" customHeight="1" spans="1:9" x14ac:dyDescent="0.25">
      <c r="A224" s="35">
        <f>IF(H223&gt;0,220,"")</f>
        <v>220</v>
      </c>
      <c r="B224" s="36">
        <f>IF(A224="","",DATE(YEAR('Mortgage Setup'!B8),MONTH('Mortgage Setup'!B8)+219,DAY('Mortgage Setup'!B8)))</f>
        <v>52688</v>
      </c>
      <c r="C224" s="37">
        <f>IF(A224="",0,IF(H223&lt;=0,0,MIN('Mortgage Setup'!B12,H223*(1+'Mortgage Setup'!B6/12))))</f>
        <v>1769.79</v>
      </c>
      <c r="D224" s="37">
        <f>IF(A224="",0,IF(H223&lt;=0,0,MIN(C224-E224,H223)))</f>
        <v>1279.14</v>
      </c>
      <c r="E224" s="37">
        <f>IF(A224="",0,IF(H223&lt;=0,0,ROUND(H223*('Mortgage Setup'!B6/12),2)))</f>
        <v>490.65</v>
      </c>
      <c r="F224" s="37">
        <f>IF(A224="",0,IF(H223&lt;=0,0,MIN('Mortgage Setup'!B9,MAX(H223-D224,0))))</f>
        <v>200</v>
      </c>
      <c r="G224" s="37">
        <f>IF(A224="",0,C224+F224)</f>
        <v>1969.79</v>
      </c>
      <c r="H224" s="37">
        <f>IF(A224="",0,MAX(H223-D224-F224,0))</f>
        <v>89103.21</v>
      </c>
      <c r="I224" s="37">
        <f>IF(A224="",0,I223+E224)</f>
        <v>242457.01000000013</v>
      </c>
    </row>
    <row r="225" ht="26" customHeight="1" spans="1:9" x14ac:dyDescent="0.25">
      <c r="A225" s="32">
        <f>IF(H224&gt;0,221,"")</f>
        <v>221</v>
      </c>
      <c r="B225" s="33">
        <f>IF(A225="","",DATE(YEAR('Mortgage Setup'!B8),MONTH('Mortgage Setup'!B8)+220,DAY('Mortgage Setup'!B8)))</f>
        <v>52718</v>
      </c>
      <c r="C225" s="34">
        <f>IF(A225="",0,IF(H224&lt;=0,0,MIN('Mortgage Setup'!B12,H224*(1+'Mortgage Setup'!B6/12))))</f>
        <v>1769.79</v>
      </c>
      <c r="D225" s="34">
        <f>IF(A225="",0,IF(H224&lt;=0,0,MIN(C225-E225,H224)))</f>
        <v>1287.15</v>
      </c>
      <c r="E225" s="34">
        <f>IF(A225="",0,IF(H224&lt;=0,0,ROUND(H224*('Mortgage Setup'!B6/12),2)))</f>
        <v>482.64</v>
      </c>
      <c r="F225" s="34">
        <f>IF(A225="",0,IF(H224&lt;=0,0,MIN('Mortgage Setup'!B9,MAX(H224-D225,0))))</f>
        <v>200</v>
      </c>
      <c r="G225" s="34">
        <f>IF(A225="",0,C225+F225)</f>
        <v>1969.79</v>
      </c>
      <c r="H225" s="34">
        <f>IF(A225="",0,MAX(H224-D225-F225,0))</f>
        <v>87616.06</v>
      </c>
      <c r="I225" s="34">
        <f>IF(A225="",0,I224+E225)</f>
        <v>242939.65000000014</v>
      </c>
    </row>
    <row r="226" ht="26" customHeight="1" spans="1:9" x14ac:dyDescent="0.25">
      <c r="A226" s="35">
        <f>IF(H225&gt;0,222,"")</f>
        <v>222</v>
      </c>
      <c r="B226" s="36">
        <f>IF(A226="","",DATE(YEAR('Mortgage Setup'!B8),MONTH('Mortgage Setup'!B8)+221,DAY('Mortgage Setup'!B8)))</f>
        <v>52749</v>
      </c>
      <c r="C226" s="37">
        <f>IF(A226="",0,IF(H225&lt;=0,0,MIN('Mortgage Setup'!B12,H225*(1+'Mortgage Setup'!B6/12))))</f>
        <v>1769.79</v>
      </c>
      <c r="D226" s="37">
        <f>IF(A226="",0,IF(H225&lt;=0,0,MIN(C226-E226,H225)))</f>
        <v>1295.2</v>
      </c>
      <c r="E226" s="37">
        <f>IF(A226="",0,IF(H225&lt;=0,0,ROUND(H225*('Mortgage Setup'!B6/12),2)))</f>
        <v>474.59</v>
      </c>
      <c r="F226" s="37">
        <f>IF(A226="",0,IF(H225&lt;=0,0,MIN('Mortgage Setup'!B9,MAX(H225-D226,0))))</f>
        <v>200</v>
      </c>
      <c r="G226" s="37">
        <f>IF(A226="",0,C226+F226)</f>
        <v>1969.79</v>
      </c>
      <c r="H226" s="37">
        <f>IF(A226="",0,MAX(H225-D226-F226,0))</f>
        <v>86120.86</v>
      </c>
      <c r="I226" s="37">
        <f>IF(A226="",0,I225+E226)</f>
        <v>243414.24000000014</v>
      </c>
    </row>
    <row r="227" ht="26" customHeight="1" spans="1:9" x14ac:dyDescent="0.25">
      <c r="A227" s="32">
        <f>IF(H226&gt;0,223,"")</f>
        <v>223</v>
      </c>
      <c r="B227" s="33">
        <f>IF(A227="","",DATE(YEAR('Mortgage Setup'!B8),MONTH('Mortgage Setup'!B8)+222,DAY('Mortgage Setup'!B8)))</f>
        <v>52779</v>
      </c>
      <c r="C227" s="34">
        <f>IF(A227="",0,IF(H226&lt;=0,0,MIN('Mortgage Setup'!B12,H226*(1+'Mortgage Setup'!B6/12))))</f>
        <v>1769.79</v>
      </c>
      <c r="D227" s="34">
        <f>IF(A227="",0,IF(H226&lt;=0,0,MIN(C227-E227,H226)))</f>
        <v>1303.3</v>
      </c>
      <c r="E227" s="34">
        <f>IF(A227="",0,IF(H226&lt;=0,0,ROUND(H226*('Mortgage Setup'!B6/12),2)))</f>
        <v>466.49</v>
      </c>
      <c r="F227" s="34">
        <f>IF(A227="",0,IF(H226&lt;=0,0,MIN('Mortgage Setup'!B9,MAX(H226-D227,0))))</f>
        <v>200</v>
      </c>
      <c r="G227" s="34">
        <f>IF(A227="",0,C227+F227)</f>
        <v>1969.79</v>
      </c>
      <c r="H227" s="34">
        <f>IF(A227="",0,MAX(H226-D227-F227,0))</f>
        <v>84617.56</v>
      </c>
      <c r="I227" s="34">
        <f>IF(A227="",0,I226+E227)</f>
        <v>243880.73000000013</v>
      </c>
    </row>
    <row r="228" ht="26" customHeight="1" spans="1:9" x14ac:dyDescent="0.25">
      <c r="A228" s="35">
        <f>IF(H227&gt;0,224,"")</f>
        <v>224</v>
      </c>
      <c r="B228" s="36">
        <f>IF(A228="","",DATE(YEAR('Mortgage Setup'!B8),MONTH('Mortgage Setup'!B8)+223,DAY('Mortgage Setup'!B8)))</f>
        <v>52810</v>
      </c>
      <c r="C228" s="37">
        <f>IF(A228="",0,IF(H227&lt;=0,0,MIN('Mortgage Setup'!B12,H227*(1+'Mortgage Setup'!B6/12))))</f>
        <v>1769.79</v>
      </c>
      <c r="D228" s="37">
        <f>IF(A228="",0,IF(H227&lt;=0,0,MIN(C228-E228,H227)))</f>
        <v>1311.44</v>
      </c>
      <c r="E228" s="37">
        <f>IF(A228="",0,IF(H227&lt;=0,0,ROUND(H227*('Mortgage Setup'!B6/12),2)))</f>
        <v>458.35</v>
      </c>
      <c r="F228" s="37">
        <f>IF(A228="",0,IF(H227&lt;=0,0,MIN('Mortgage Setup'!B9,MAX(H227-D228,0))))</f>
        <v>200</v>
      </c>
      <c r="G228" s="37">
        <f>IF(A228="",0,C228+F228)</f>
        <v>1969.79</v>
      </c>
      <c r="H228" s="37">
        <f>IF(A228="",0,MAX(H227-D228-F228,0))</f>
        <v>83106.12</v>
      </c>
      <c r="I228" s="37">
        <f>IF(A228="",0,I227+E228)</f>
        <v>244339.08000000013</v>
      </c>
    </row>
    <row r="229" ht="26" customHeight="1" spans="1:9" x14ac:dyDescent="0.25">
      <c r="A229" s="32">
        <f>IF(H228&gt;0,225,"")</f>
        <v>225</v>
      </c>
      <c r="B229" s="33">
        <f>IF(A229="","",DATE(YEAR('Mortgage Setup'!B8),MONTH('Mortgage Setup'!B8)+224,DAY('Mortgage Setup'!B8)))</f>
        <v>52841</v>
      </c>
      <c r="C229" s="34">
        <f>IF(A229="",0,IF(H228&lt;=0,0,MIN('Mortgage Setup'!B12,H228*(1+'Mortgage Setup'!B6/12))))</f>
        <v>1769.79</v>
      </c>
      <c r="D229" s="34">
        <f>IF(A229="",0,IF(H228&lt;=0,0,MIN(C229-E229,H228)))</f>
        <v>1319.63</v>
      </c>
      <c r="E229" s="34">
        <f>IF(A229="",0,IF(H228&lt;=0,0,ROUND(H228*('Mortgage Setup'!B6/12),2)))</f>
        <v>450.16</v>
      </c>
      <c r="F229" s="34">
        <f>IF(A229="",0,IF(H228&lt;=0,0,MIN('Mortgage Setup'!B9,MAX(H228-D229,0))))</f>
        <v>200</v>
      </c>
      <c r="G229" s="34">
        <f>IF(A229="",0,C229+F229)</f>
        <v>1969.7900000000002</v>
      </c>
      <c r="H229" s="34">
        <f>IF(A229="",0,MAX(H228-D229-F229,0))</f>
        <v>81586.49</v>
      </c>
      <c r="I229" s="34">
        <f>IF(A229="",0,I228+E229)</f>
        <v>244789.24000000014</v>
      </c>
    </row>
    <row r="230" ht="26" customHeight="1" spans="1:9" x14ac:dyDescent="0.25">
      <c r="A230" s="35">
        <f>IF(H229&gt;0,226,"")</f>
        <v>226</v>
      </c>
      <c r="B230" s="36">
        <f>IF(A230="","",DATE(YEAR('Mortgage Setup'!B8),MONTH('Mortgage Setup'!B8)+225,DAY('Mortgage Setup'!B8)))</f>
        <v>52871</v>
      </c>
      <c r="C230" s="37">
        <f>IF(A230="",0,IF(H229&lt;=0,0,MIN('Mortgage Setup'!B12,H229*(1+'Mortgage Setup'!B6/12))))</f>
        <v>1769.79</v>
      </c>
      <c r="D230" s="37">
        <f>IF(A230="",0,IF(H229&lt;=0,0,MIN(C230-E230,H229)))</f>
        <v>1327.86</v>
      </c>
      <c r="E230" s="37">
        <f>IF(A230="",0,IF(H229&lt;=0,0,ROUND(H229*('Mortgage Setup'!B6/12),2)))</f>
        <v>441.93</v>
      </c>
      <c r="F230" s="37">
        <f>IF(A230="",0,IF(H229&lt;=0,0,MIN('Mortgage Setup'!B9,MAX(H229-D230,0))))</f>
        <v>200</v>
      </c>
      <c r="G230" s="37">
        <f>IF(A230="",0,C230+F230)</f>
        <v>1969.79</v>
      </c>
      <c r="H230" s="37">
        <f>IF(A230="",0,MAX(H229-D230-F230,0))</f>
        <v>80058.63</v>
      </c>
      <c r="I230" s="37">
        <f>IF(A230="",0,I229+E230)</f>
        <v>245231.17000000013</v>
      </c>
    </row>
    <row r="231" ht="26" customHeight="1" spans="1:9" x14ac:dyDescent="0.25">
      <c r="A231" s="32">
        <f>IF(H230&gt;0,227,"")</f>
        <v>227</v>
      </c>
      <c r="B231" s="33">
        <f>IF(A231="","",DATE(YEAR('Mortgage Setup'!B8),MONTH('Mortgage Setup'!B8)+226,DAY('Mortgage Setup'!B8)))</f>
        <v>52902</v>
      </c>
      <c r="C231" s="34">
        <f>IF(A231="",0,IF(H230&lt;=0,0,MIN('Mortgage Setup'!B12,H230*(1+'Mortgage Setup'!B6/12))))</f>
        <v>1769.79</v>
      </c>
      <c r="D231" s="34">
        <f>IF(A231="",0,IF(H230&lt;=0,0,MIN(C231-E231,H230)))</f>
        <v>1336.14</v>
      </c>
      <c r="E231" s="34">
        <f>IF(A231="",0,IF(H230&lt;=0,0,ROUND(H230*('Mortgage Setup'!B6/12),2)))</f>
        <v>433.65</v>
      </c>
      <c r="F231" s="34">
        <f>IF(A231="",0,IF(H230&lt;=0,0,MIN('Mortgage Setup'!B9,MAX(H230-D231,0))))</f>
        <v>200</v>
      </c>
      <c r="G231" s="34">
        <f>IF(A231="",0,C231+F231)</f>
        <v>1969.79</v>
      </c>
      <c r="H231" s="34">
        <f>IF(A231="",0,MAX(H230-D231-F231,0))</f>
        <v>78522.49</v>
      </c>
      <c r="I231" s="34">
        <f>IF(A231="",0,I230+E231)</f>
        <v>245664.82000000012</v>
      </c>
    </row>
    <row r="232" ht="26" customHeight="1" spans="1:9" x14ac:dyDescent="0.25">
      <c r="A232" s="35">
        <f>IF(H231&gt;0,228,"")</f>
        <v>228</v>
      </c>
      <c r="B232" s="36">
        <f>IF(A232="","",DATE(YEAR('Mortgage Setup'!B8),MONTH('Mortgage Setup'!B8)+227,DAY('Mortgage Setup'!B8)))</f>
        <v>52932</v>
      </c>
      <c r="C232" s="37">
        <f>IF(A232="",0,IF(H231&lt;=0,0,MIN('Mortgage Setup'!B12,H231*(1+'Mortgage Setup'!B6/12))))</f>
        <v>1769.79</v>
      </c>
      <c r="D232" s="37">
        <f>IF(A232="",0,IF(H231&lt;=0,0,MIN(C232-E232,H231)))</f>
        <v>1344.46</v>
      </c>
      <c r="E232" s="37">
        <f>IF(A232="",0,IF(H231&lt;=0,0,ROUND(H231*('Mortgage Setup'!B6/12),2)))</f>
        <v>425.33</v>
      </c>
      <c r="F232" s="37">
        <f>IF(A232="",0,IF(H231&lt;=0,0,MIN('Mortgage Setup'!B9,MAX(H231-D232,0))))</f>
        <v>200</v>
      </c>
      <c r="G232" s="37">
        <f>IF(A232="",0,C232+F232)</f>
        <v>1969.79</v>
      </c>
      <c r="H232" s="37">
        <f>IF(A232="",0,MAX(H231-D232-F232,0))</f>
        <v>76978.03</v>
      </c>
      <c r="I232" s="37">
        <f>IF(A232="",0,I231+E232)</f>
        <v>246090.1500000001</v>
      </c>
    </row>
    <row r="233" ht="26" customHeight="1" spans="1:9" x14ac:dyDescent="0.25">
      <c r="A233" s="32">
        <f>IF(H232&gt;0,229,"")</f>
        <v>229</v>
      </c>
      <c r="B233" s="33">
        <f>IF(A233="","",DATE(YEAR('Mortgage Setup'!B8),MONTH('Mortgage Setup'!B8)+228,DAY('Mortgage Setup'!B8)))</f>
        <v>52963</v>
      </c>
      <c r="C233" s="34">
        <f>IF(A233="",0,IF(H232&lt;=0,0,MIN('Mortgage Setup'!B12,H232*(1+'Mortgage Setup'!B6/12))))</f>
        <v>1769.79</v>
      </c>
      <c r="D233" s="34">
        <f>IF(A233="",0,IF(H232&lt;=0,0,MIN(C233-E233,H232)))</f>
        <v>1352.83</v>
      </c>
      <c r="E233" s="34">
        <f>IF(A233="",0,IF(H232&lt;=0,0,ROUND(H232*('Mortgage Setup'!B6/12),2)))</f>
        <v>416.96</v>
      </c>
      <c r="F233" s="34">
        <f>IF(A233="",0,IF(H232&lt;=0,0,MIN('Mortgage Setup'!B9,MAX(H232-D233,0))))</f>
        <v>200</v>
      </c>
      <c r="G233" s="34">
        <f>IF(A233="",0,C233+F233)</f>
        <v>1969.79</v>
      </c>
      <c r="H233" s="34">
        <f>IF(A233="",0,MAX(H232-D233-F233,0))</f>
        <v>75425.2</v>
      </c>
      <c r="I233" s="34">
        <f>IF(A233="",0,I232+E233)</f>
        <v>246507.1100000001</v>
      </c>
    </row>
    <row r="234" ht="26" customHeight="1" spans="1:9" x14ac:dyDescent="0.25">
      <c r="A234" s="35">
        <f>IF(H233&gt;0,230,"")</f>
        <v>230</v>
      </c>
      <c r="B234" s="36">
        <f>IF(A234="","",DATE(YEAR('Mortgage Setup'!B8),MONTH('Mortgage Setup'!B8)+229,DAY('Mortgage Setup'!B8)))</f>
        <v>52994</v>
      </c>
      <c r="C234" s="37">
        <f>IF(A234="",0,IF(H233&lt;=0,0,MIN('Mortgage Setup'!B12,H233*(1+'Mortgage Setup'!B6/12))))</f>
        <v>1769.79</v>
      </c>
      <c r="D234" s="37">
        <f>IF(A234="",0,IF(H233&lt;=0,0,MIN(C234-E234,H233)))</f>
        <v>1361.24</v>
      </c>
      <c r="E234" s="37">
        <f>IF(A234="",0,IF(H233&lt;=0,0,ROUND(H233*('Mortgage Setup'!B6/12),2)))</f>
        <v>408.55</v>
      </c>
      <c r="F234" s="37">
        <f>IF(A234="",0,IF(H233&lt;=0,0,MIN('Mortgage Setup'!B9,MAX(H233-D234,0))))</f>
        <v>200</v>
      </c>
      <c r="G234" s="37">
        <f>IF(A234="",0,C234+F234)</f>
        <v>1969.79</v>
      </c>
      <c r="H234" s="37">
        <f>IF(A234="",0,MAX(H233-D234-F234,0))</f>
        <v>73863.96</v>
      </c>
      <c r="I234" s="37">
        <f>IF(A234="",0,I233+E234)</f>
        <v>246915.6600000001</v>
      </c>
    </row>
    <row r="235" ht="26" customHeight="1" spans="1:9" x14ac:dyDescent="0.25">
      <c r="A235" s="32">
        <f>IF(H234&gt;0,231,"")</f>
        <v>231</v>
      </c>
      <c r="B235" s="33">
        <f>IF(A235="","",DATE(YEAR('Mortgage Setup'!B8),MONTH('Mortgage Setup'!B8)+230,DAY('Mortgage Setup'!B8)))</f>
        <v>53022</v>
      </c>
      <c r="C235" s="34">
        <f>IF(A235="",0,IF(H234&lt;=0,0,MIN('Mortgage Setup'!B12,H234*(1+'Mortgage Setup'!B6/12))))</f>
        <v>1769.79</v>
      </c>
      <c r="D235" s="34">
        <f>IF(A235="",0,IF(H234&lt;=0,0,MIN(C235-E235,H234)))</f>
        <v>1369.69</v>
      </c>
      <c r="E235" s="34">
        <f>IF(A235="",0,IF(H234&lt;=0,0,ROUND(H234*('Mortgage Setup'!B6/12),2)))</f>
        <v>400.1</v>
      </c>
      <c r="F235" s="34">
        <f>IF(A235="",0,IF(H234&lt;=0,0,MIN('Mortgage Setup'!B9,MAX(H234-D235,0))))</f>
        <v>200</v>
      </c>
      <c r="G235" s="34">
        <f>IF(A235="",0,C235+F235)</f>
        <v>1969.79</v>
      </c>
      <c r="H235" s="34">
        <f>IF(A235="",0,MAX(H234-D235-F235,0))</f>
        <v>72294.27</v>
      </c>
      <c r="I235" s="34">
        <f>IF(A235="",0,I234+E235)</f>
        <v>247315.7600000001</v>
      </c>
    </row>
    <row r="236" ht="26" customHeight="1" spans="1:9" x14ac:dyDescent="0.25">
      <c r="A236" s="35">
        <f>IF(H235&gt;0,232,"")</f>
        <v>232</v>
      </c>
      <c r="B236" s="36">
        <f>IF(A236="","",DATE(YEAR('Mortgage Setup'!B8),MONTH('Mortgage Setup'!B8)+231,DAY('Mortgage Setup'!B8)))</f>
        <v>53053</v>
      </c>
      <c r="C236" s="37">
        <f>IF(A236="",0,IF(H235&lt;=0,0,MIN('Mortgage Setup'!B12,H235*(1+'Mortgage Setup'!B6/12))))</f>
        <v>1769.79</v>
      </c>
      <c r="D236" s="37">
        <f>IF(A236="",0,IF(H235&lt;=0,0,MIN(C236-E236,H235)))</f>
        <v>1378.2</v>
      </c>
      <c r="E236" s="37">
        <f>IF(A236="",0,IF(H235&lt;=0,0,ROUND(H235*('Mortgage Setup'!B6/12),2)))</f>
        <v>391.59</v>
      </c>
      <c r="F236" s="37">
        <f>IF(A236="",0,IF(H235&lt;=0,0,MIN('Mortgage Setup'!B9,MAX(H235-D236,0))))</f>
        <v>200</v>
      </c>
      <c r="G236" s="37">
        <f>IF(A236="",0,C236+F236)</f>
        <v>1969.79</v>
      </c>
      <c r="H236" s="37">
        <f>IF(A236="",0,MAX(H235-D236-F236,0))</f>
        <v>70716.07</v>
      </c>
      <c r="I236" s="37">
        <f>IF(A236="",0,I235+E236)</f>
        <v>247707.3500000001</v>
      </c>
    </row>
    <row r="237" ht="26" customHeight="1" spans="1:9" x14ac:dyDescent="0.25">
      <c r="A237" s="32">
        <f>IF(H236&gt;0,233,"")</f>
        <v>233</v>
      </c>
      <c r="B237" s="33">
        <f>IF(A237="","",DATE(YEAR('Mortgage Setup'!B8),MONTH('Mortgage Setup'!B8)+232,DAY('Mortgage Setup'!B8)))</f>
        <v>53083</v>
      </c>
      <c r="C237" s="34">
        <f>IF(A237="",0,IF(H236&lt;=0,0,MIN('Mortgage Setup'!B12,H236*(1+'Mortgage Setup'!B6/12))))</f>
        <v>1769.79</v>
      </c>
      <c r="D237" s="34">
        <f>IF(A237="",0,IF(H236&lt;=0,0,MIN(C237-E237,H236)))</f>
        <v>1386.74</v>
      </c>
      <c r="E237" s="34">
        <f>IF(A237="",0,IF(H236&lt;=0,0,ROUND(H236*('Mortgage Setup'!B6/12),2)))</f>
        <v>383.05</v>
      </c>
      <c r="F237" s="34">
        <f>IF(A237="",0,IF(H236&lt;=0,0,MIN('Mortgage Setup'!B9,MAX(H236-D237,0))))</f>
        <v>200</v>
      </c>
      <c r="G237" s="34">
        <f>IF(A237="",0,C237+F237)</f>
        <v>1969.79</v>
      </c>
      <c r="H237" s="34">
        <f>IF(A237="",0,MAX(H236-D237-F237,0))</f>
        <v>69129.33</v>
      </c>
      <c r="I237" s="34">
        <f>IF(A237="",0,I236+E237)</f>
        <v>248090.40000000008</v>
      </c>
    </row>
    <row r="238" ht="26" customHeight="1" spans="1:9" x14ac:dyDescent="0.25">
      <c r="A238" s="35">
        <f>IF(H237&gt;0,234,"")</f>
        <v>234</v>
      </c>
      <c r="B238" s="36">
        <f>IF(A238="","",DATE(YEAR('Mortgage Setup'!B8),MONTH('Mortgage Setup'!B8)+233,DAY('Mortgage Setup'!B8)))</f>
        <v>53114</v>
      </c>
      <c r="C238" s="37">
        <f>IF(A238="",0,IF(H237&lt;=0,0,MIN('Mortgage Setup'!B12,H237*(1+'Mortgage Setup'!B6/12))))</f>
        <v>1769.79</v>
      </c>
      <c r="D238" s="37">
        <f>IF(A238="",0,IF(H237&lt;=0,0,MIN(C238-E238,H237)))</f>
        <v>1395.34</v>
      </c>
      <c r="E238" s="37">
        <f>IF(A238="",0,IF(H237&lt;=0,0,ROUND(H237*('Mortgage Setup'!B6/12),2)))</f>
        <v>374.45</v>
      </c>
      <c r="F238" s="37">
        <f>IF(A238="",0,IF(H237&lt;=0,0,MIN('Mortgage Setup'!B9,MAX(H237-D238,0))))</f>
        <v>200</v>
      </c>
      <c r="G238" s="37">
        <f>IF(A238="",0,C238+F238)</f>
        <v>1969.79</v>
      </c>
      <c r="H238" s="37">
        <f>IF(A238="",0,MAX(H237-D238-F238,0))</f>
        <v>67533.99</v>
      </c>
      <c r="I238" s="37">
        <f>IF(A238="",0,I237+E238)</f>
        <v>248464.8500000001</v>
      </c>
    </row>
    <row r="239" ht="26" customHeight="1" spans="1:9" x14ac:dyDescent="0.25">
      <c r="A239" s="32">
        <f>IF(H238&gt;0,235,"")</f>
        <v>235</v>
      </c>
      <c r="B239" s="33">
        <f>IF(A239="","",DATE(YEAR('Mortgage Setup'!B8),MONTH('Mortgage Setup'!B8)+234,DAY('Mortgage Setup'!B8)))</f>
        <v>53144</v>
      </c>
      <c r="C239" s="34">
        <f>IF(A239="",0,IF(H238&lt;=0,0,MIN('Mortgage Setup'!B12,H238*(1+'Mortgage Setup'!B6/12))))</f>
        <v>1769.79</v>
      </c>
      <c r="D239" s="34">
        <f>IF(A239="",0,IF(H238&lt;=0,0,MIN(C239-E239,H238)))</f>
        <v>1403.98</v>
      </c>
      <c r="E239" s="34">
        <f>IF(A239="",0,IF(H238&lt;=0,0,ROUND(H238*('Mortgage Setup'!B6/12),2)))</f>
        <v>365.81</v>
      </c>
      <c r="F239" s="34">
        <f>IF(A239="",0,IF(H238&lt;=0,0,MIN('Mortgage Setup'!B9,MAX(H238-D239,0))))</f>
        <v>200</v>
      </c>
      <c r="G239" s="34">
        <f>IF(A239="",0,C239+F239)</f>
        <v>1969.79</v>
      </c>
      <c r="H239" s="34">
        <f>IF(A239="",0,MAX(H238-D239-F239,0))</f>
        <v>65930.01</v>
      </c>
      <c r="I239" s="34">
        <f>IF(A239="",0,I238+E239)</f>
        <v>248830.6600000001</v>
      </c>
    </row>
    <row r="240" ht="26" customHeight="1" spans="1:9" x14ac:dyDescent="0.25">
      <c r="A240" s="35">
        <f>IF(H239&gt;0,236,"")</f>
        <v>236</v>
      </c>
      <c r="B240" s="36">
        <f>IF(A240="","",DATE(YEAR('Mortgage Setup'!B8),MONTH('Mortgage Setup'!B8)+235,DAY('Mortgage Setup'!B8)))</f>
        <v>53175</v>
      </c>
      <c r="C240" s="37">
        <f>IF(A240="",0,IF(H239&lt;=0,0,MIN('Mortgage Setup'!B12,H239*(1+'Mortgage Setup'!B6/12))))</f>
        <v>1769.79</v>
      </c>
      <c r="D240" s="37">
        <f>IF(A240="",0,IF(H239&lt;=0,0,MIN(C240-E240,H239)))</f>
        <v>1412.67</v>
      </c>
      <c r="E240" s="37">
        <f>IF(A240="",0,IF(H239&lt;=0,0,ROUND(H239*('Mortgage Setup'!B6/12),2)))</f>
        <v>357.12</v>
      </c>
      <c r="F240" s="37">
        <f>IF(A240="",0,IF(H239&lt;=0,0,MIN('Mortgage Setup'!B9,MAX(H239-D240,0))))</f>
        <v>200</v>
      </c>
      <c r="G240" s="37">
        <f>IF(A240="",0,C240+F240)</f>
        <v>1969.79</v>
      </c>
      <c r="H240" s="37">
        <f>IF(A240="",0,MAX(H239-D240-F240,0))</f>
        <v>64317.34</v>
      </c>
      <c r="I240" s="37">
        <f>IF(A240="",0,I239+E240)</f>
        <v>249187.7800000001</v>
      </c>
    </row>
    <row r="241" ht="26" customHeight="1" spans="1:9" x14ac:dyDescent="0.25">
      <c r="A241" s="32">
        <f>IF(H240&gt;0,237,"")</f>
        <v>237</v>
      </c>
      <c r="B241" s="33">
        <f>IF(A241="","",DATE(YEAR('Mortgage Setup'!B8),MONTH('Mortgage Setup'!B8)+236,DAY('Mortgage Setup'!B8)))</f>
        <v>53206</v>
      </c>
      <c r="C241" s="34">
        <f>IF(A241="",0,IF(H240&lt;=0,0,MIN('Mortgage Setup'!B12,H240*(1+'Mortgage Setup'!B6/12))))</f>
        <v>1769.79</v>
      </c>
      <c r="D241" s="34">
        <f>IF(A241="",0,IF(H240&lt;=0,0,MIN(C241-E241,H240)))</f>
        <v>1421.4</v>
      </c>
      <c r="E241" s="34">
        <f>IF(A241="",0,IF(H240&lt;=0,0,ROUND(H240*('Mortgage Setup'!B6/12),2)))</f>
        <v>348.39</v>
      </c>
      <c r="F241" s="34">
        <f>IF(A241="",0,IF(H240&lt;=0,0,MIN('Mortgage Setup'!B9,MAX(H240-D241,0))))</f>
        <v>200</v>
      </c>
      <c r="G241" s="34">
        <f>IF(A241="",0,C241+F241)</f>
        <v>1969.79</v>
      </c>
      <c r="H241" s="34">
        <f>IF(A241="",0,MAX(H240-D241-F241,0))</f>
        <v>62695.94</v>
      </c>
      <c r="I241" s="34">
        <f>IF(A241="",0,I240+E241)</f>
        <v>249536.1700000001</v>
      </c>
    </row>
    <row r="242" ht="26" customHeight="1" spans="1:9" x14ac:dyDescent="0.25">
      <c r="A242" s="35">
        <f>IF(H241&gt;0,238,"")</f>
        <v>238</v>
      </c>
      <c r="B242" s="36">
        <f>IF(A242="","",DATE(YEAR('Mortgage Setup'!B8),MONTH('Mortgage Setup'!B8)+237,DAY('Mortgage Setup'!B8)))</f>
        <v>53236</v>
      </c>
      <c r="C242" s="37">
        <f>IF(A242="",0,IF(H241&lt;=0,0,MIN('Mortgage Setup'!B12,H241*(1+'Mortgage Setup'!B6/12))))</f>
        <v>1769.79</v>
      </c>
      <c r="D242" s="37">
        <f>IF(A242="",0,IF(H241&lt;=0,0,MIN(C242-E242,H241)))</f>
        <v>1430.19</v>
      </c>
      <c r="E242" s="37">
        <f>IF(A242="",0,IF(H241&lt;=0,0,ROUND(H241*('Mortgage Setup'!B6/12),2)))</f>
        <v>339.6</v>
      </c>
      <c r="F242" s="37">
        <f>IF(A242="",0,IF(H241&lt;=0,0,MIN('Mortgage Setup'!B9,MAX(H241-D242,0))))</f>
        <v>200</v>
      </c>
      <c r="G242" s="37">
        <f>IF(A242="",0,C242+F242)</f>
        <v>1969.79</v>
      </c>
      <c r="H242" s="37">
        <f>IF(A242="",0,MAX(H241-D242-F242,0))</f>
        <v>61065.75</v>
      </c>
      <c r="I242" s="37">
        <f>IF(A242="",0,I241+E242)</f>
        <v>249875.7700000001</v>
      </c>
    </row>
    <row r="243" ht="26" customHeight="1" spans="1:9" x14ac:dyDescent="0.25">
      <c r="A243" s="32">
        <f>IF(H242&gt;0,239,"")</f>
        <v>239</v>
      </c>
      <c r="B243" s="33">
        <f>IF(A243="","",DATE(YEAR('Mortgage Setup'!B8),MONTH('Mortgage Setup'!B8)+238,DAY('Mortgage Setup'!B8)))</f>
        <v>53267</v>
      </c>
      <c r="C243" s="34">
        <f>IF(A243="",0,IF(H242&lt;=0,0,MIN('Mortgage Setup'!B12,H242*(1+'Mortgage Setup'!B6/12))))</f>
        <v>1769.79</v>
      </c>
      <c r="D243" s="34">
        <f>IF(A243="",0,IF(H242&lt;=0,0,MIN(C243-E243,H242)))</f>
        <v>1439.02</v>
      </c>
      <c r="E243" s="34">
        <f>IF(A243="",0,IF(H242&lt;=0,0,ROUND(H242*('Mortgage Setup'!B6/12),2)))</f>
        <v>330.77</v>
      </c>
      <c r="F243" s="34">
        <f>IF(A243="",0,IF(H242&lt;=0,0,MIN('Mortgage Setup'!B9,MAX(H242-D243,0))))</f>
        <v>200</v>
      </c>
      <c r="G243" s="34">
        <f>IF(A243="",0,C243+F243)</f>
        <v>1969.79</v>
      </c>
      <c r="H243" s="34">
        <f>IF(A243="",0,MAX(H242-D243-F243,0))</f>
        <v>59426.73</v>
      </c>
      <c r="I243" s="34">
        <f>IF(A243="",0,I242+E243)</f>
        <v>250206.5400000001</v>
      </c>
    </row>
    <row r="244" ht="26" customHeight="1" spans="1:9" x14ac:dyDescent="0.25">
      <c r="A244" s="35">
        <f>IF(H243&gt;0,240,"")</f>
        <v>240</v>
      </c>
      <c r="B244" s="36">
        <f>IF(A244="","",DATE(YEAR('Mortgage Setup'!B8),MONTH('Mortgage Setup'!B8)+239,DAY('Mortgage Setup'!B8)))</f>
        <v>53297</v>
      </c>
      <c r="C244" s="37">
        <f>IF(A244="",0,IF(H243&lt;=0,0,MIN('Mortgage Setup'!B12,H243*(1+'Mortgage Setup'!B6/12))))</f>
        <v>1769.79</v>
      </c>
      <c r="D244" s="37">
        <f>IF(A244="",0,IF(H243&lt;=0,0,MIN(C244-E244,H243)))</f>
        <v>1447.9</v>
      </c>
      <c r="E244" s="37">
        <f>IF(A244="",0,IF(H243&lt;=0,0,ROUND(H243*('Mortgage Setup'!B6/12),2)))</f>
        <v>321.89</v>
      </c>
      <c r="F244" s="37">
        <f>IF(A244="",0,IF(H243&lt;=0,0,MIN('Mortgage Setup'!B9,MAX(H243-D244,0))))</f>
        <v>200</v>
      </c>
      <c r="G244" s="37">
        <f>IF(A244="",0,C244+F244)</f>
        <v>1969.79</v>
      </c>
      <c r="H244" s="37">
        <f>IF(A244="",0,MAX(H243-D244-F244,0))</f>
        <v>57778.83</v>
      </c>
      <c r="I244" s="37">
        <f>IF(A244="",0,I243+E244)</f>
        <v>250528.4300000001</v>
      </c>
    </row>
    <row r="245" ht="26" customHeight="1" spans="1:9" x14ac:dyDescent="0.25">
      <c r="A245" s="32">
        <f>IF(H244&gt;0,241,"")</f>
        <v>241</v>
      </c>
      <c r="B245" s="33">
        <f>IF(A245="","",DATE(YEAR('Mortgage Setup'!B8),MONTH('Mortgage Setup'!B8)+240,DAY('Mortgage Setup'!B8)))</f>
        <v>53328</v>
      </c>
      <c r="C245" s="34">
        <f>IF(A245="",0,IF(H244&lt;=0,0,MIN('Mortgage Setup'!B12,H244*(1+'Mortgage Setup'!B6/12))))</f>
        <v>1769.79</v>
      </c>
      <c r="D245" s="34">
        <f>IF(A245="",0,IF(H244&lt;=0,0,MIN(C245-E245,H244)))</f>
        <v>1456.82</v>
      </c>
      <c r="E245" s="34">
        <f>IF(A245="",0,IF(H244&lt;=0,0,ROUND(H244*('Mortgage Setup'!B6/12),2)))</f>
        <v>312.97</v>
      </c>
      <c r="F245" s="34">
        <f>IF(A245="",0,IF(H244&lt;=0,0,MIN('Mortgage Setup'!B9,MAX(H244-D245,0))))</f>
        <v>200</v>
      </c>
      <c r="G245" s="34">
        <f>IF(A245="",0,C245+F245)</f>
        <v>1969.79</v>
      </c>
      <c r="H245" s="34">
        <f>IF(A245="",0,MAX(H244-D245-F245,0))</f>
        <v>56122.01</v>
      </c>
      <c r="I245" s="34">
        <f>IF(A245="",0,I244+E245)</f>
        <v>250841.4000000001</v>
      </c>
    </row>
    <row r="246" ht="26" customHeight="1" spans="1:9" x14ac:dyDescent="0.25">
      <c r="A246" s="35">
        <f>IF(H245&gt;0,242,"")</f>
        <v>242</v>
      </c>
      <c r="B246" s="36">
        <f>IF(A246="","",DATE(YEAR('Mortgage Setup'!B8),MONTH('Mortgage Setup'!B8)+241,DAY('Mortgage Setup'!B8)))</f>
        <v>53359</v>
      </c>
      <c r="C246" s="37">
        <f>IF(A246="",0,IF(H245&lt;=0,0,MIN('Mortgage Setup'!B12,H245*(1+'Mortgage Setup'!B6/12))))</f>
        <v>1769.79</v>
      </c>
      <c r="D246" s="37">
        <f>IF(A246="",0,IF(H245&lt;=0,0,MIN(C246-E246,H245)))</f>
        <v>1465.8</v>
      </c>
      <c r="E246" s="37">
        <f>IF(A246="",0,IF(H245&lt;=0,0,ROUND(H245*('Mortgage Setup'!B6/12),2)))</f>
        <v>303.99</v>
      </c>
      <c r="F246" s="37">
        <f>IF(A246="",0,IF(H245&lt;=0,0,MIN('Mortgage Setup'!B9,MAX(H245-D246,0))))</f>
        <v>200</v>
      </c>
      <c r="G246" s="37">
        <f>IF(A246="",0,C246+F246)</f>
        <v>1969.79</v>
      </c>
      <c r="H246" s="37">
        <f>IF(A246="",0,MAX(H245-D246-F246,0))</f>
        <v>54456.21</v>
      </c>
      <c r="I246" s="37">
        <f>IF(A246="",0,I245+E246)</f>
        <v>251145.3900000001</v>
      </c>
    </row>
    <row r="247" ht="26" customHeight="1" spans="1:9" x14ac:dyDescent="0.25">
      <c r="A247" s="32">
        <f>IF(H246&gt;0,243,"")</f>
        <v>243</v>
      </c>
      <c r="B247" s="33">
        <f>IF(A247="","",DATE(YEAR('Mortgage Setup'!B8),MONTH('Mortgage Setup'!B8)+242,DAY('Mortgage Setup'!B8)))</f>
        <v>53387</v>
      </c>
      <c r="C247" s="34">
        <f>IF(A247="",0,IF(H246&lt;=0,0,MIN('Mortgage Setup'!B12,H246*(1+'Mortgage Setup'!B6/12))))</f>
        <v>1769.79</v>
      </c>
      <c r="D247" s="34">
        <f>IF(A247="",0,IF(H246&lt;=0,0,MIN(C247-E247,H246)))</f>
        <v>1474.82</v>
      </c>
      <c r="E247" s="34">
        <f>IF(A247="",0,IF(H246&lt;=0,0,ROUND(H246*('Mortgage Setup'!B6/12),2)))</f>
        <v>294.97</v>
      </c>
      <c r="F247" s="34">
        <f>IF(A247="",0,IF(H246&lt;=0,0,MIN('Mortgage Setup'!B9,MAX(H246-D247,0))))</f>
        <v>200</v>
      </c>
      <c r="G247" s="34">
        <f>IF(A247="",0,C247+F247)</f>
        <v>1969.79</v>
      </c>
      <c r="H247" s="34">
        <f>IF(A247="",0,MAX(H246-D247-F247,0))</f>
        <v>52781.39</v>
      </c>
      <c r="I247" s="34">
        <f>IF(A247="",0,I246+E247)</f>
        <v>251440.3600000001</v>
      </c>
    </row>
    <row r="248" ht="26" customHeight="1" spans="1:9" x14ac:dyDescent="0.25">
      <c r="A248" s="35">
        <f>IF(H247&gt;0,244,"")</f>
        <v>244</v>
      </c>
      <c r="B248" s="36">
        <f>IF(A248="","",DATE(YEAR('Mortgage Setup'!B8),MONTH('Mortgage Setup'!B8)+243,DAY('Mortgage Setup'!B8)))</f>
        <v>53418</v>
      </c>
      <c r="C248" s="37">
        <f>IF(A248="",0,IF(H247&lt;=0,0,MIN('Mortgage Setup'!B12,H247*(1+'Mortgage Setup'!B6/12))))</f>
        <v>1769.79</v>
      </c>
      <c r="D248" s="37">
        <f>IF(A248="",0,IF(H247&lt;=0,0,MIN(C248-E248,H247)))</f>
        <v>1483.89</v>
      </c>
      <c r="E248" s="37">
        <f>IF(A248="",0,IF(H247&lt;=0,0,ROUND(H247*('Mortgage Setup'!B6/12),2)))</f>
        <v>285.9</v>
      </c>
      <c r="F248" s="37">
        <f>IF(A248="",0,IF(H247&lt;=0,0,MIN('Mortgage Setup'!B9,MAX(H247-D248,0))))</f>
        <v>200</v>
      </c>
      <c r="G248" s="37">
        <f>IF(A248="",0,C248+F248)</f>
        <v>1969.79</v>
      </c>
      <c r="H248" s="37">
        <f>IF(A248="",0,MAX(H247-D248-F248,0))</f>
        <v>51097.5</v>
      </c>
      <c r="I248" s="37">
        <f>IF(A248="",0,I247+E248)</f>
        <v>251726.2600000001</v>
      </c>
    </row>
    <row r="249" ht="26" customHeight="1" spans="1:9" x14ac:dyDescent="0.25">
      <c r="A249" s="32">
        <f>IF(H248&gt;0,245,"")</f>
        <v>245</v>
      </c>
      <c r="B249" s="33">
        <f>IF(A249="","",DATE(YEAR('Mortgage Setup'!B8),MONTH('Mortgage Setup'!B8)+244,DAY('Mortgage Setup'!B8)))</f>
        <v>53448</v>
      </c>
      <c r="C249" s="34">
        <f>IF(A249="",0,IF(H248&lt;=0,0,MIN('Mortgage Setup'!B12,H248*(1+'Mortgage Setup'!B6/12))))</f>
        <v>1769.79</v>
      </c>
      <c r="D249" s="34">
        <f>IF(A249="",0,IF(H248&lt;=0,0,MIN(C249-E249,H248)))</f>
        <v>1493.01</v>
      </c>
      <c r="E249" s="34">
        <f>IF(A249="",0,IF(H248&lt;=0,0,ROUND(H248*('Mortgage Setup'!B6/12),2)))</f>
        <v>276.78</v>
      </c>
      <c r="F249" s="34">
        <f>IF(A249="",0,IF(H248&lt;=0,0,MIN('Mortgage Setup'!B9,MAX(H248-D249,0))))</f>
        <v>200</v>
      </c>
      <c r="G249" s="34">
        <f>IF(A249="",0,C249+F249)</f>
        <v>1969.79</v>
      </c>
      <c r="H249" s="34">
        <f>IF(A249="",0,MAX(H248-D249-F249,0))</f>
        <v>49404.49</v>
      </c>
      <c r="I249" s="34">
        <f>IF(A249="",0,I248+E249)</f>
        <v>252003.0400000001</v>
      </c>
    </row>
    <row r="250" ht="26" customHeight="1" spans="1:9" x14ac:dyDescent="0.25">
      <c r="A250" s="35">
        <f>IF(H249&gt;0,246,"")</f>
        <v>246</v>
      </c>
      <c r="B250" s="36">
        <f>IF(A250="","",DATE(YEAR('Mortgage Setup'!B8),MONTH('Mortgage Setup'!B8)+245,DAY('Mortgage Setup'!B8)))</f>
        <v>53479</v>
      </c>
      <c r="C250" s="37">
        <f>IF(A250="",0,IF(H249&lt;=0,0,MIN('Mortgage Setup'!B12,H249*(1+'Mortgage Setup'!B6/12))))</f>
        <v>1769.79</v>
      </c>
      <c r="D250" s="37">
        <f>IF(A250="",0,IF(H249&lt;=0,0,MIN(C250-E250,H249)))</f>
        <v>1502.18</v>
      </c>
      <c r="E250" s="37">
        <f>IF(A250="",0,IF(H249&lt;=0,0,ROUND(H249*('Mortgage Setup'!B6/12),2)))</f>
        <v>267.61</v>
      </c>
      <c r="F250" s="37">
        <f>IF(A250="",0,IF(H249&lt;=0,0,MIN('Mortgage Setup'!B9,MAX(H249-D250,0))))</f>
        <v>200</v>
      </c>
      <c r="G250" s="37">
        <f>IF(A250="",0,C250+F250)</f>
        <v>1969.79</v>
      </c>
      <c r="H250" s="37">
        <f>IF(A250="",0,MAX(H249-D250-F250,0))</f>
        <v>47702.31</v>
      </c>
      <c r="I250" s="37">
        <f>IF(A250="",0,I249+E250)</f>
        <v>252270.65000000008</v>
      </c>
    </row>
    <row r="251" ht="26" customHeight="1" spans="1:9" x14ac:dyDescent="0.25">
      <c r="A251" s="32">
        <f>IF(H250&gt;0,247,"")</f>
        <v>247</v>
      </c>
      <c r="B251" s="33">
        <f>IF(A251="","",DATE(YEAR('Mortgage Setup'!B8),MONTH('Mortgage Setup'!B8)+246,DAY('Mortgage Setup'!B8)))</f>
        <v>53509</v>
      </c>
      <c r="C251" s="34">
        <f>IF(A251="",0,IF(H250&lt;=0,0,MIN('Mortgage Setup'!B12,H250*(1+'Mortgage Setup'!B6/12))))</f>
        <v>1769.79</v>
      </c>
      <c r="D251" s="34">
        <f>IF(A251="",0,IF(H250&lt;=0,0,MIN(C251-E251,H250)))</f>
        <v>1511.4</v>
      </c>
      <c r="E251" s="34">
        <f>IF(A251="",0,IF(H250&lt;=0,0,ROUND(H250*('Mortgage Setup'!B6/12),2)))</f>
        <v>258.39</v>
      </c>
      <c r="F251" s="34">
        <f>IF(A251="",0,IF(H250&lt;=0,0,MIN('Mortgage Setup'!B9,MAX(H250-D251,0))))</f>
        <v>200</v>
      </c>
      <c r="G251" s="34">
        <f>IF(A251="",0,C251+F251)</f>
        <v>1969.79</v>
      </c>
      <c r="H251" s="34">
        <f>IF(A251="",0,MAX(H250-D251-F251,0))</f>
        <v>45990.91</v>
      </c>
      <c r="I251" s="34">
        <f>IF(A251="",0,I250+E251)</f>
        <v>252529.0400000001</v>
      </c>
    </row>
    <row r="252" ht="26" customHeight="1" spans="1:9" x14ac:dyDescent="0.25">
      <c r="A252" s="35">
        <f>IF(H251&gt;0,248,"")</f>
        <v>248</v>
      </c>
      <c r="B252" s="36">
        <f>IF(A252="","",DATE(YEAR('Mortgage Setup'!B8),MONTH('Mortgage Setup'!B8)+247,DAY('Mortgage Setup'!B8)))</f>
        <v>53540</v>
      </c>
      <c r="C252" s="37">
        <f>IF(A252="",0,IF(H251&lt;=0,0,MIN('Mortgage Setup'!B12,H251*(1+'Mortgage Setup'!B6/12))))</f>
        <v>1769.79</v>
      </c>
      <c r="D252" s="37">
        <f>IF(A252="",0,IF(H251&lt;=0,0,MIN(C252-E252,H251)))</f>
        <v>1520.67</v>
      </c>
      <c r="E252" s="37">
        <f>IF(A252="",0,IF(H251&lt;=0,0,ROUND(H251*('Mortgage Setup'!B6/12),2)))</f>
        <v>249.12</v>
      </c>
      <c r="F252" s="37">
        <f>IF(A252="",0,IF(H251&lt;=0,0,MIN('Mortgage Setup'!B9,MAX(H251-D252,0))))</f>
        <v>200</v>
      </c>
      <c r="G252" s="37">
        <f>IF(A252="",0,C252+F252)</f>
        <v>1969.79</v>
      </c>
      <c r="H252" s="37">
        <f>IF(A252="",0,MAX(H251-D252-F252,0))</f>
        <v>44270.24</v>
      </c>
      <c r="I252" s="37">
        <f>IF(A252="",0,I251+E252)</f>
        <v>252778.1600000001</v>
      </c>
    </row>
    <row r="253" ht="26" customHeight="1" spans="1:9" x14ac:dyDescent="0.25">
      <c r="A253" s="32">
        <f>IF(H252&gt;0,249,"")</f>
        <v>249</v>
      </c>
      <c r="B253" s="33">
        <f>IF(A253="","",DATE(YEAR('Mortgage Setup'!B8),MONTH('Mortgage Setup'!B8)+248,DAY('Mortgage Setup'!B8)))</f>
        <v>53571</v>
      </c>
      <c r="C253" s="34">
        <f>IF(A253="",0,IF(H252&lt;=0,0,MIN('Mortgage Setup'!B12,H252*(1+'Mortgage Setup'!B6/12))))</f>
        <v>1769.79</v>
      </c>
      <c r="D253" s="34">
        <f>IF(A253="",0,IF(H252&lt;=0,0,MIN(C253-E253,H252)))</f>
        <v>1529.99</v>
      </c>
      <c r="E253" s="34">
        <f>IF(A253="",0,IF(H252&lt;=0,0,ROUND(H252*('Mortgage Setup'!B6/12),2)))</f>
        <v>239.8</v>
      </c>
      <c r="F253" s="34">
        <f>IF(A253="",0,IF(H252&lt;=0,0,MIN('Mortgage Setup'!B9,MAX(H252-D253,0))))</f>
        <v>200</v>
      </c>
      <c r="G253" s="34">
        <f>IF(A253="",0,C253+F253)</f>
        <v>1969.79</v>
      </c>
      <c r="H253" s="34">
        <f>IF(A253="",0,MAX(H252-D253-F253,0))</f>
        <v>42540.25</v>
      </c>
      <c r="I253" s="34">
        <f>IF(A253="",0,I252+E253)</f>
        <v>253017.96000000008</v>
      </c>
    </row>
    <row r="254" ht="26" customHeight="1" spans="1:9" x14ac:dyDescent="0.25">
      <c r="A254" s="35">
        <f>IF(H253&gt;0,250,"")</f>
        <v>250</v>
      </c>
      <c r="B254" s="36">
        <f>IF(A254="","",DATE(YEAR('Mortgage Setup'!B8),MONTH('Mortgage Setup'!B8)+249,DAY('Mortgage Setup'!B8)))</f>
        <v>53601</v>
      </c>
      <c r="C254" s="37">
        <f>IF(A254="",0,IF(H253&lt;=0,0,MIN('Mortgage Setup'!B12,H253*(1+'Mortgage Setup'!B6/12))))</f>
        <v>1769.79</v>
      </c>
      <c r="D254" s="37">
        <f>IF(A254="",0,IF(H253&lt;=0,0,MIN(C254-E254,H253)))</f>
        <v>1539.36</v>
      </c>
      <c r="E254" s="37">
        <f>IF(A254="",0,IF(H253&lt;=0,0,ROUND(H253*('Mortgage Setup'!B6/12),2)))</f>
        <v>230.43</v>
      </c>
      <c r="F254" s="37">
        <f>IF(A254="",0,IF(H253&lt;=0,0,MIN('Mortgage Setup'!B9,MAX(H253-D254,0))))</f>
        <v>200</v>
      </c>
      <c r="G254" s="37">
        <f>IF(A254="",0,C254+F254)</f>
        <v>1969.79</v>
      </c>
      <c r="H254" s="37">
        <f>IF(A254="",0,MAX(H253-D254-F254,0))</f>
        <v>40800.89</v>
      </c>
      <c r="I254" s="37">
        <f>IF(A254="",0,I253+E254)</f>
        <v>253248.39000000007</v>
      </c>
    </row>
    <row r="255" ht="26" customHeight="1" spans="1:9" x14ac:dyDescent="0.25">
      <c r="A255" s="32">
        <f>IF(H254&gt;0,251,"")</f>
        <v>251</v>
      </c>
      <c r="B255" s="33">
        <f>IF(A255="","",DATE(YEAR('Mortgage Setup'!B8),MONTH('Mortgage Setup'!B8)+250,DAY('Mortgage Setup'!B8)))</f>
        <v>53632</v>
      </c>
      <c r="C255" s="34">
        <f>IF(A255="",0,IF(H254&lt;=0,0,MIN('Mortgage Setup'!B12,H254*(1+'Mortgage Setup'!B6/12))))</f>
        <v>1769.79</v>
      </c>
      <c r="D255" s="34">
        <f>IF(A255="",0,IF(H254&lt;=0,0,MIN(C255-E255,H254)))</f>
        <v>1548.79</v>
      </c>
      <c r="E255" s="34">
        <f>IF(A255="",0,IF(H254&lt;=0,0,ROUND(H254*('Mortgage Setup'!B6/12),2)))</f>
        <v>221</v>
      </c>
      <c r="F255" s="34">
        <f>IF(A255="",0,IF(H254&lt;=0,0,MIN('Mortgage Setup'!B9,MAX(H254-D255,0))))</f>
        <v>200</v>
      </c>
      <c r="G255" s="34">
        <f>IF(A255="",0,C255+F255)</f>
        <v>1969.79</v>
      </c>
      <c r="H255" s="34">
        <f>IF(A255="",0,MAX(H254-D255-F255,0))</f>
        <v>39052.1</v>
      </c>
      <c r="I255" s="34">
        <f>IF(A255="",0,I254+E255)</f>
        <v>253469.39000000007</v>
      </c>
    </row>
    <row r="256" ht="26" customHeight="1" spans="1:9" x14ac:dyDescent="0.25">
      <c r="A256" s="35">
        <f>IF(H255&gt;0,252,"")</f>
        <v>252</v>
      </c>
      <c r="B256" s="36">
        <f>IF(A256="","",DATE(YEAR('Mortgage Setup'!B8),MONTH('Mortgage Setup'!B8)+251,DAY('Mortgage Setup'!B8)))</f>
        <v>53662</v>
      </c>
      <c r="C256" s="37">
        <f>IF(A256="",0,IF(H255&lt;=0,0,MIN('Mortgage Setup'!B12,H255*(1+'Mortgage Setup'!B6/12))))</f>
        <v>1769.79</v>
      </c>
      <c r="D256" s="37">
        <f>IF(A256="",0,IF(H255&lt;=0,0,MIN(C256-E256,H255)))</f>
        <v>1558.26</v>
      </c>
      <c r="E256" s="37">
        <f>IF(A256="",0,IF(H255&lt;=0,0,ROUND(H255*('Mortgage Setup'!B6/12),2)))</f>
        <v>211.53</v>
      </c>
      <c r="F256" s="37">
        <f>IF(A256="",0,IF(H255&lt;=0,0,MIN('Mortgage Setup'!B9,MAX(H255-D256,0))))</f>
        <v>200</v>
      </c>
      <c r="G256" s="37">
        <f>IF(A256="",0,C256+F256)</f>
        <v>1969.79</v>
      </c>
      <c r="H256" s="37">
        <f>IF(A256="",0,MAX(H255-D256-F256,0))</f>
        <v>37293.84</v>
      </c>
      <c r="I256" s="37">
        <f>IF(A256="",0,I255+E256)</f>
        <v>253680.92000000007</v>
      </c>
    </row>
    <row r="257" ht="26" customHeight="1" spans="1:9" x14ac:dyDescent="0.25">
      <c r="A257" s="32">
        <f>IF(H256&gt;0,253,"")</f>
        <v>253</v>
      </c>
      <c r="B257" s="33">
        <f>IF(A257="","",DATE(YEAR('Mortgage Setup'!B8),MONTH('Mortgage Setup'!B8)+252,DAY('Mortgage Setup'!B8)))</f>
        <v>53693</v>
      </c>
      <c r="C257" s="34">
        <f>IF(A257="",0,IF(H256&lt;=0,0,MIN('Mortgage Setup'!B12,H256*(1+'Mortgage Setup'!B6/12))))</f>
        <v>1769.79</v>
      </c>
      <c r="D257" s="34">
        <f>IF(A257="",0,IF(H256&lt;=0,0,MIN(C257-E257,H256)))</f>
        <v>1567.78</v>
      </c>
      <c r="E257" s="34">
        <f>IF(A257="",0,IF(H256&lt;=0,0,ROUND(H256*('Mortgage Setup'!B6/12),2)))</f>
        <v>202.01</v>
      </c>
      <c r="F257" s="34">
        <f>IF(A257="",0,IF(H256&lt;=0,0,MIN('Mortgage Setup'!B9,MAX(H256-D257,0))))</f>
        <v>200</v>
      </c>
      <c r="G257" s="34">
        <f>IF(A257="",0,C257+F257)</f>
        <v>1969.79</v>
      </c>
      <c r="H257" s="34">
        <f>IF(A257="",0,MAX(H256-D257-F257,0))</f>
        <v>35526.06</v>
      </c>
      <c r="I257" s="34">
        <f>IF(A257="",0,I256+E257)</f>
        <v>253882.93000000008</v>
      </c>
    </row>
    <row r="258" ht="26" customHeight="1" spans="1:9" x14ac:dyDescent="0.25">
      <c r="A258" s="35">
        <f>IF(H257&gt;0,254,"")</f>
        <v>254</v>
      </c>
      <c r="B258" s="36">
        <f>IF(A258="","",DATE(YEAR('Mortgage Setup'!B8),MONTH('Mortgage Setup'!B8)+253,DAY('Mortgage Setup'!B8)))</f>
        <v>53724</v>
      </c>
      <c r="C258" s="37">
        <f>IF(A258="",0,IF(H257&lt;=0,0,MIN('Mortgage Setup'!B12,H257*(1+'Mortgage Setup'!B6/12))))</f>
        <v>1769.79</v>
      </c>
      <c r="D258" s="37">
        <f>IF(A258="",0,IF(H257&lt;=0,0,MIN(C258-E258,H257)))</f>
        <v>1577.36</v>
      </c>
      <c r="E258" s="37">
        <f>IF(A258="",0,IF(H257&lt;=0,0,ROUND(H257*('Mortgage Setup'!B6/12),2)))</f>
        <v>192.43</v>
      </c>
      <c r="F258" s="37">
        <f>IF(A258="",0,IF(H257&lt;=0,0,MIN('Mortgage Setup'!B9,MAX(H257-D258,0))))</f>
        <v>200</v>
      </c>
      <c r="G258" s="37">
        <f>IF(A258="",0,C258+F258)</f>
        <v>1969.79</v>
      </c>
      <c r="H258" s="37">
        <f>IF(A258="",0,MAX(H257-D258-F258,0))</f>
        <v>33748.7</v>
      </c>
      <c r="I258" s="37">
        <f>IF(A258="",0,I257+E258)</f>
        <v>254075.36000000007</v>
      </c>
    </row>
    <row r="259" ht="26" customHeight="1" spans="1:9" x14ac:dyDescent="0.25">
      <c r="A259" s="32">
        <f>IF(H258&gt;0,255,"")</f>
        <v>255</v>
      </c>
      <c r="B259" s="33">
        <f>IF(A259="","",DATE(YEAR('Mortgage Setup'!B8),MONTH('Mortgage Setup'!B8)+254,DAY('Mortgage Setup'!B8)))</f>
        <v>53752</v>
      </c>
      <c r="C259" s="34">
        <f>IF(A259="",0,IF(H258&lt;=0,0,MIN('Mortgage Setup'!B12,H258*(1+'Mortgage Setup'!B6/12))))</f>
        <v>1769.79</v>
      </c>
      <c r="D259" s="34">
        <f>IF(A259="",0,IF(H258&lt;=0,0,MIN(C259-E259,H258)))</f>
        <v>1586.98</v>
      </c>
      <c r="E259" s="34">
        <f>IF(A259="",0,IF(H258&lt;=0,0,ROUND(H258*('Mortgage Setup'!B6/12),2)))</f>
        <v>182.81</v>
      </c>
      <c r="F259" s="34">
        <f>IF(A259="",0,IF(H258&lt;=0,0,MIN('Mortgage Setup'!B9,MAX(H258-D259,0))))</f>
        <v>200</v>
      </c>
      <c r="G259" s="34">
        <f>IF(A259="",0,C259+F259)</f>
        <v>1969.79</v>
      </c>
      <c r="H259" s="34">
        <f>IF(A259="",0,MAX(H258-D259-F259,0))</f>
        <v>31961.72</v>
      </c>
      <c r="I259" s="34">
        <f>IF(A259="",0,I258+E259)</f>
        <v>254258.17000000007</v>
      </c>
    </row>
    <row r="260" ht="26" customHeight="1" spans="1:9" x14ac:dyDescent="0.25">
      <c r="A260" s="35">
        <f>IF(H259&gt;0,256,"")</f>
        <v>256</v>
      </c>
      <c r="B260" s="36">
        <f>IF(A260="","",DATE(YEAR('Mortgage Setup'!B8),MONTH('Mortgage Setup'!B8)+255,DAY('Mortgage Setup'!B8)))</f>
        <v>53783</v>
      </c>
      <c r="C260" s="37">
        <f>IF(A260="",0,IF(H259&lt;=0,0,MIN('Mortgage Setup'!B12,H259*(1+'Mortgage Setup'!B6/12))))</f>
        <v>1769.79</v>
      </c>
      <c r="D260" s="37">
        <f>IF(A260="",0,IF(H259&lt;=0,0,MIN(C260-E260,H259)))</f>
        <v>1596.66</v>
      </c>
      <c r="E260" s="37">
        <f>IF(A260="",0,IF(H259&lt;=0,0,ROUND(H259*('Mortgage Setup'!B6/12),2)))</f>
        <v>173.13</v>
      </c>
      <c r="F260" s="37">
        <f>IF(A260="",0,IF(H259&lt;=0,0,MIN('Mortgage Setup'!B9,MAX(H259-D260,0))))</f>
        <v>200</v>
      </c>
      <c r="G260" s="37">
        <f>IF(A260="",0,C260+F260)</f>
        <v>1969.79</v>
      </c>
      <c r="H260" s="37">
        <f>IF(A260="",0,MAX(H259-D260-F260,0))</f>
        <v>30165.06</v>
      </c>
      <c r="I260" s="37">
        <f>IF(A260="",0,I259+E260)</f>
        <v>254431.30000000008</v>
      </c>
    </row>
    <row r="261" ht="26" customHeight="1" spans="1:9" x14ac:dyDescent="0.25">
      <c r="A261" s="32">
        <f>IF(H260&gt;0,257,"")</f>
        <v>257</v>
      </c>
      <c r="B261" s="33">
        <f>IF(A261="","",DATE(YEAR('Mortgage Setup'!B8),MONTH('Mortgage Setup'!B8)+256,DAY('Mortgage Setup'!B8)))</f>
        <v>53813</v>
      </c>
      <c r="C261" s="34">
        <f>IF(A261="",0,IF(H260&lt;=0,0,MIN('Mortgage Setup'!B12,H260*(1+'Mortgage Setup'!B6/12))))</f>
        <v>1769.79</v>
      </c>
      <c r="D261" s="34">
        <f>IF(A261="",0,IF(H260&lt;=0,0,MIN(C261-E261,H260)))</f>
        <v>1606.4</v>
      </c>
      <c r="E261" s="34">
        <f>IF(A261="",0,IF(H260&lt;=0,0,ROUND(H260*('Mortgage Setup'!B6/12),2)))</f>
        <v>163.39</v>
      </c>
      <c r="F261" s="34">
        <f>IF(A261="",0,IF(H260&lt;=0,0,MIN('Mortgage Setup'!B9,MAX(H260-D261,0))))</f>
        <v>200</v>
      </c>
      <c r="G261" s="34">
        <f>IF(A261="",0,C261+F261)</f>
        <v>1969.79</v>
      </c>
      <c r="H261" s="34">
        <f>IF(A261="",0,MAX(H260-D261-F261,0))</f>
        <v>28358.66</v>
      </c>
      <c r="I261" s="34">
        <f>IF(A261="",0,I260+E261)</f>
        <v>254594.6900000001</v>
      </c>
    </row>
    <row r="262" ht="26" customHeight="1" spans="1:9" x14ac:dyDescent="0.25">
      <c r="A262" s="35">
        <f>IF(H261&gt;0,258,"")</f>
        <v>258</v>
      </c>
      <c r="B262" s="36">
        <f>IF(A262="","",DATE(YEAR('Mortgage Setup'!B8),MONTH('Mortgage Setup'!B8)+257,DAY('Mortgage Setup'!B8)))</f>
        <v>53844</v>
      </c>
      <c r="C262" s="37">
        <f>IF(A262="",0,IF(H261&lt;=0,0,MIN('Mortgage Setup'!B12,H261*(1+'Mortgage Setup'!B6/12))))</f>
        <v>1769.79</v>
      </c>
      <c r="D262" s="37">
        <f>IF(A262="",0,IF(H261&lt;=0,0,MIN(C262-E262,H261)))</f>
        <v>1616.18</v>
      </c>
      <c r="E262" s="37">
        <f>IF(A262="",0,IF(H261&lt;=0,0,ROUND(H261*('Mortgage Setup'!B6/12),2)))</f>
        <v>153.61</v>
      </c>
      <c r="F262" s="37">
        <f>IF(A262="",0,IF(H261&lt;=0,0,MIN('Mortgage Setup'!B9,MAX(H261-D262,0))))</f>
        <v>200</v>
      </c>
      <c r="G262" s="37">
        <f>IF(A262="",0,C262+F262)</f>
        <v>1969.79</v>
      </c>
      <c r="H262" s="37">
        <f>IF(A262="",0,MAX(H261-D262-F262,0))</f>
        <v>26542.48</v>
      </c>
      <c r="I262" s="37">
        <f>IF(A262="",0,I261+E262)</f>
        <v>254748.30000000008</v>
      </c>
    </row>
    <row r="263" ht="26" customHeight="1" spans="1:9" x14ac:dyDescent="0.25">
      <c r="A263" s="32">
        <f>IF(H262&gt;0,259,"")</f>
        <v>259</v>
      </c>
      <c r="B263" s="33">
        <f>IF(A263="","",DATE(YEAR('Mortgage Setup'!B8),MONTH('Mortgage Setup'!B8)+258,DAY('Mortgage Setup'!B8)))</f>
        <v>53874</v>
      </c>
      <c r="C263" s="34">
        <f>IF(A263="",0,IF(H262&lt;=0,0,MIN('Mortgage Setup'!B12,H262*(1+'Mortgage Setup'!B6/12))))</f>
        <v>1769.79</v>
      </c>
      <c r="D263" s="34">
        <f>IF(A263="",0,IF(H262&lt;=0,0,MIN(C263-E263,H262)))</f>
        <v>1626.02</v>
      </c>
      <c r="E263" s="34">
        <f>IF(A263="",0,IF(H262&lt;=0,0,ROUND(H262*('Mortgage Setup'!B6/12),2)))</f>
        <v>143.77</v>
      </c>
      <c r="F263" s="34">
        <f>IF(A263="",0,IF(H262&lt;=0,0,MIN('Mortgage Setup'!B9,MAX(H262-D263,0))))</f>
        <v>200</v>
      </c>
      <c r="G263" s="34">
        <f>IF(A263="",0,C263+F263)</f>
        <v>1969.79</v>
      </c>
      <c r="H263" s="34">
        <f>IF(A263="",0,MAX(H262-D263-F263,0))</f>
        <v>24716.46</v>
      </c>
      <c r="I263" s="34">
        <f>IF(A263="",0,I262+E263)</f>
        <v>254892.07000000007</v>
      </c>
    </row>
    <row r="264" ht="26" customHeight="1" spans="1:9" x14ac:dyDescent="0.25">
      <c r="A264" s="35">
        <f>IF(H263&gt;0,260,"")</f>
        <v>260</v>
      </c>
      <c r="B264" s="36">
        <f>IF(A264="","",DATE(YEAR('Mortgage Setup'!B8),MONTH('Mortgage Setup'!B8)+259,DAY('Mortgage Setup'!B8)))</f>
        <v>53905</v>
      </c>
      <c r="C264" s="37">
        <f>IF(A264="",0,IF(H263&lt;=0,0,MIN('Mortgage Setup'!B12,H263*(1+'Mortgage Setup'!B6/12))))</f>
        <v>1769.79</v>
      </c>
      <c r="D264" s="37">
        <f>IF(A264="",0,IF(H263&lt;=0,0,MIN(C264-E264,H263)))</f>
        <v>1635.91</v>
      </c>
      <c r="E264" s="37">
        <f>IF(A264="",0,IF(H263&lt;=0,0,ROUND(H263*('Mortgage Setup'!B6/12),2)))</f>
        <v>133.88</v>
      </c>
      <c r="F264" s="37">
        <f>IF(A264="",0,IF(H263&lt;=0,0,MIN('Mortgage Setup'!B9,MAX(H263-D264,0))))</f>
        <v>200</v>
      </c>
      <c r="G264" s="37">
        <f>IF(A264="",0,C264+F264)</f>
        <v>1969.79</v>
      </c>
      <c r="H264" s="37">
        <f>IF(A264="",0,MAX(H263-D264-F264,0))</f>
        <v>22880.55</v>
      </c>
      <c r="I264" s="37">
        <f>IF(A264="",0,I263+E264)</f>
        <v>255025.95000000007</v>
      </c>
    </row>
    <row r="265" ht="26" customHeight="1" spans="1:9" x14ac:dyDescent="0.25">
      <c r="A265" s="32">
        <f>IF(H264&gt;0,261,"")</f>
        <v>261</v>
      </c>
      <c r="B265" s="33">
        <f>IF(A265="","",DATE(YEAR('Mortgage Setup'!B8),MONTH('Mortgage Setup'!B8)+260,DAY('Mortgage Setup'!B8)))</f>
        <v>53936</v>
      </c>
      <c r="C265" s="34">
        <f>IF(A265="",0,IF(H264&lt;=0,0,MIN('Mortgage Setup'!B12,H264*(1+'Mortgage Setup'!B6/12))))</f>
        <v>1769.79</v>
      </c>
      <c r="D265" s="34">
        <f>IF(A265="",0,IF(H264&lt;=0,0,MIN(C265-E265,H264)))</f>
        <v>1645.85</v>
      </c>
      <c r="E265" s="34">
        <f>IF(A265="",0,IF(H264&lt;=0,0,ROUND(H264*('Mortgage Setup'!B6/12),2)))</f>
        <v>123.94</v>
      </c>
      <c r="F265" s="34">
        <f>IF(A265="",0,IF(H264&lt;=0,0,MIN('Mortgage Setup'!B9,MAX(H264-D265,0))))</f>
        <v>200</v>
      </c>
      <c r="G265" s="34">
        <f>IF(A265="",0,C265+F265)</f>
        <v>1969.79</v>
      </c>
      <c r="H265" s="34">
        <f>IF(A265="",0,MAX(H264-D265-F265,0))</f>
        <v>21034.7</v>
      </c>
      <c r="I265" s="34">
        <f>IF(A265="",0,I264+E265)</f>
        <v>255149.89000000007</v>
      </c>
    </row>
    <row r="266" ht="26" customHeight="1" spans="1:9" x14ac:dyDescent="0.25">
      <c r="A266" s="35">
        <f>IF(H265&gt;0,262,"")</f>
        <v>262</v>
      </c>
      <c r="B266" s="36">
        <f>IF(A266="","",DATE(YEAR('Mortgage Setup'!B8),MONTH('Mortgage Setup'!B8)+261,DAY('Mortgage Setup'!B8)))</f>
        <v>53966</v>
      </c>
      <c r="C266" s="37">
        <f>IF(A266="",0,IF(H265&lt;=0,0,MIN('Mortgage Setup'!B12,H265*(1+'Mortgage Setup'!B6/12))))</f>
        <v>1769.79</v>
      </c>
      <c r="D266" s="37">
        <f>IF(A266="",0,IF(H265&lt;=0,0,MIN(C266-E266,H265)))</f>
        <v>1655.85</v>
      </c>
      <c r="E266" s="37">
        <f>IF(A266="",0,IF(H265&lt;=0,0,ROUND(H265*('Mortgage Setup'!B6/12),2)))</f>
        <v>113.94</v>
      </c>
      <c r="F266" s="37">
        <f>IF(A266="",0,IF(H265&lt;=0,0,MIN('Mortgage Setup'!B9,MAX(H265-D266,0))))</f>
        <v>200</v>
      </c>
      <c r="G266" s="37">
        <f>IF(A266="",0,C266+F266)</f>
        <v>1969.79</v>
      </c>
      <c r="H266" s="37">
        <f>IF(A266="",0,MAX(H265-D266-F266,0))</f>
        <v>19178.85</v>
      </c>
      <c r="I266" s="37">
        <f>IF(A266="",0,I265+E266)</f>
        <v>255263.83000000007</v>
      </c>
    </row>
    <row r="267" ht="26" customHeight="1" spans="1:9" x14ac:dyDescent="0.25">
      <c r="A267" s="32">
        <f>IF(H266&gt;0,263,"")</f>
        <v>263</v>
      </c>
      <c r="B267" s="33">
        <f>IF(A267="","",DATE(YEAR('Mortgage Setup'!B8),MONTH('Mortgage Setup'!B8)+262,DAY('Mortgage Setup'!B8)))</f>
        <v>53997</v>
      </c>
      <c r="C267" s="34">
        <f>IF(A267="",0,IF(H266&lt;=0,0,MIN('Mortgage Setup'!B12,H266*(1+'Mortgage Setup'!B6/12))))</f>
        <v>1769.79</v>
      </c>
      <c r="D267" s="34">
        <f>IF(A267="",0,IF(H266&lt;=0,0,MIN(C267-E267,H266)))</f>
        <v>1665.9</v>
      </c>
      <c r="E267" s="34">
        <f>IF(A267="",0,IF(H266&lt;=0,0,ROUND(H266*('Mortgage Setup'!B6/12),2)))</f>
        <v>103.89</v>
      </c>
      <c r="F267" s="34">
        <f>IF(A267="",0,IF(H266&lt;=0,0,MIN('Mortgage Setup'!B9,MAX(H266-D267,0))))</f>
        <v>200</v>
      </c>
      <c r="G267" s="34">
        <f>IF(A267="",0,C267+F267)</f>
        <v>1969.7900000000002</v>
      </c>
      <c r="H267" s="34">
        <f>IF(A267="",0,MAX(H266-D267-F267,0))</f>
        <v>17312.95</v>
      </c>
      <c r="I267" s="34">
        <f>IF(A267="",0,I266+E267)</f>
        <v>255367.7200000001</v>
      </c>
    </row>
    <row r="268" ht="26" customHeight="1" spans="1:9" x14ac:dyDescent="0.25">
      <c r="A268" s="35">
        <f>IF(H267&gt;0,264,"")</f>
        <v>264</v>
      </c>
      <c r="B268" s="36">
        <f>IF(A268="","",DATE(YEAR('Mortgage Setup'!B8),MONTH('Mortgage Setup'!B8)+263,DAY('Mortgage Setup'!B8)))</f>
        <v>54027</v>
      </c>
      <c r="C268" s="37">
        <f>IF(A268="",0,IF(H267&lt;=0,0,MIN('Mortgage Setup'!B12,H267*(1+'Mortgage Setup'!B6/12))))</f>
        <v>1769.79</v>
      </c>
      <c r="D268" s="37">
        <f>IF(A268="",0,IF(H267&lt;=0,0,MIN(C268-E268,H267)))</f>
        <v>1676.01</v>
      </c>
      <c r="E268" s="37">
        <f>IF(A268="",0,IF(H267&lt;=0,0,ROUND(H267*('Mortgage Setup'!B6/12),2)))</f>
        <v>93.78</v>
      </c>
      <c r="F268" s="37">
        <f>IF(A268="",0,IF(H267&lt;=0,0,MIN('Mortgage Setup'!B9,MAX(H267-D268,0))))</f>
        <v>200</v>
      </c>
      <c r="G268" s="37">
        <f>IF(A268="",0,C268+F268)</f>
        <v>1969.79</v>
      </c>
      <c r="H268" s="37">
        <f>IF(A268="",0,MAX(H267-D268-F268,0))</f>
        <v>15436.94</v>
      </c>
      <c r="I268" s="37">
        <f>IF(A268="",0,I267+E268)</f>
        <v>255461.5000000001</v>
      </c>
    </row>
    <row r="269" ht="26" customHeight="1" spans="1:9" x14ac:dyDescent="0.25">
      <c r="A269" s="32">
        <f>IF(H268&gt;0,265,"")</f>
        <v>265</v>
      </c>
      <c r="B269" s="33">
        <f>IF(A269="","",DATE(YEAR('Mortgage Setup'!B8),MONTH('Mortgage Setup'!B8)+264,DAY('Mortgage Setup'!B8)))</f>
        <v>54058</v>
      </c>
      <c r="C269" s="34">
        <f>IF(A269="",0,IF(H268&lt;=0,0,MIN('Mortgage Setup'!B12,H268*(1+'Mortgage Setup'!B6/12))))</f>
        <v>1769.79</v>
      </c>
      <c r="D269" s="34">
        <f>IF(A269="",0,IF(H268&lt;=0,0,MIN(C269-E269,H268)))</f>
        <v>1686.17</v>
      </c>
      <c r="E269" s="34">
        <f>IF(A269="",0,IF(H268&lt;=0,0,ROUND(H268*('Mortgage Setup'!B6/12),2)))</f>
        <v>83.62</v>
      </c>
      <c r="F269" s="34">
        <f>IF(A269="",0,IF(H268&lt;=0,0,MIN('Mortgage Setup'!B9,MAX(H268-D269,0))))</f>
        <v>200</v>
      </c>
      <c r="G269" s="34">
        <f>IF(A269="",0,C269+F269)</f>
        <v>1969.79</v>
      </c>
      <c r="H269" s="34">
        <f>IF(A269="",0,MAX(H268-D269-F269,0))</f>
        <v>13550.77</v>
      </c>
      <c r="I269" s="34">
        <f>IF(A269="",0,I268+E269)</f>
        <v>255545.12000000008</v>
      </c>
    </row>
    <row r="270" ht="26" customHeight="1" spans="1:9" x14ac:dyDescent="0.25">
      <c r="A270" s="35">
        <f>IF(H269&gt;0,266,"")</f>
        <v>266</v>
      </c>
      <c r="B270" s="36">
        <f>IF(A270="","",DATE(YEAR('Mortgage Setup'!B8),MONTH('Mortgage Setup'!B8)+265,DAY('Mortgage Setup'!B8)))</f>
        <v>54089</v>
      </c>
      <c r="C270" s="37">
        <f>IF(A270="",0,IF(H269&lt;=0,0,MIN('Mortgage Setup'!B12,H269*(1+'Mortgage Setup'!B6/12))))</f>
        <v>1769.79</v>
      </c>
      <c r="D270" s="37">
        <f>IF(A270="",0,IF(H269&lt;=0,0,MIN(C270-E270,H269)))</f>
        <v>1696.39</v>
      </c>
      <c r="E270" s="37">
        <f>IF(A270="",0,IF(H269&lt;=0,0,ROUND(H269*('Mortgage Setup'!B6/12),2)))</f>
        <v>73.4</v>
      </c>
      <c r="F270" s="37">
        <f>IF(A270="",0,IF(H269&lt;=0,0,MIN('Mortgage Setup'!B9,MAX(H269-D270,0))))</f>
        <v>200</v>
      </c>
      <c r="G270" s="37">
        <f>IF(A270="",0,C270+F270)</f>
        <v>1969.7900000000002</v>
      </c>
      <c r="H270" s="37">
        <f>IF(A270="",0,MAX(H269-D270-F270,0))</f>
        <v>11654.38</v>
      </c>
      <c r="I270" s="37">
        <f>IF(A270="",0,I269+E270)</f>
        <v>255618.52000000008</v>
      </c>
    </row>
    <row r="271" ht="26" customHeight="1" spans="1:9" x14ac:dyDescent="0.25">
      <c r="A271" s="32">
        <f>IF(H270&gt;0,267,"")</f>
        <v>267</v>
      </c>
      <c r="B271" s="33">
        <f>IF(A271="","",DATE(YEAR('Mortgage Setup'!B8),MONTH('Mortgage Setup'!B8)+266,DAY('Mortgage Setup'!B8)))</f>
        <v>54118</v>
      </c>
      <c r="C271" s="34">
        <f>IF(A271="",0,IF(H270&lt;=0,0,MIN('Mortgage Setup'!B12,H270*(1+'Mortgage Setup'!B6/12))))</f>
        <v>1769.79</v>
      </c>
      <c r="D271" s="34">
        <f>IF(A271="",0,IF(H270&lt;=0,0,MIN(C271-E271,H270)))</f>
        <v>1706.66</v>
      </c>
      <c r="E271" s="34">
        <f>IF(A271="",0,IF(H270&lt;=0,0,ROUND(H270*('Mortgage Setup'!B6/12),2)))</f>
        <v>63.13</v>
      </c>
      <c r="F271" s="34">
        <f>IF(A271="",0,IF(H270&lt;=0,0,MIN('Mortgage Setup'!B9,MAX(H270-D271,0))))</f>
        <v>200</v>
      </c>
      <c r="G271" s="34">
        <f>IF(A271="",0,C271+F271)</f>
        <v>1969.7900000000002</v>
      </c>
      <c r="H271" s="34">
        <f>IF(A271="",0,MAX(H270-D271-F271,0))</f>
        <v>9747.72</v>
      </c>
      <c r="I271" s="34">
        <f>IF(A271="",0,I270+E271)</f>
        <v>255681.65000000008</v>
      </c>
    </row>
    <row r="272" ht="26" customHeight="1" spans="1:9" x14ac:dyDescent="0.25">
      <c r="A272" s="35">
        <f>IF(H271&gt;0,268,"")</f>
        <v>268</v>
      </c>
      <c r="B272" s="36">
        <f>IF(A272="","",DATE(YEAR('Mortgage Setup'!B8),MONTH('Mortgage Setup'!B8)+267,DAY('Mortgage Setup'!B8)))</f>
        <v>54149</v>
      </c>
      <c r="C272" s="37">
        <f>IF(A272="",0,IF(H271&lt;=0,0,MIN('Mortgage Setup'!B12,H271*(1+'Mortgage Setup'!B6/12))))</f>
        <v>1769.79</v>
      </c>
      <c r="D272" s="37">
        <f>IF(A272="",0,IF(H271&lt;=0,0,MIN(C272-E272,H271)))</f>
        <v>1716.99</v>
      </c>
      <c r="E272" s="37">
        <f>IF(A272="",0,IF(H271&lt;=0,0,ROUND(H271*('Mortgage Setup'!B6/12),2)))</f>
        <v>52.8</v>
      </c>
      <c r="F272" s="37">
        <f>IF(A272="",0,IF(H271&lt;=0,0,MIN('Mortgage Setup'!B9,MAX(H271-D272,0))))</f>
        <v>200</v>
      </c>
      <c r="G272" s="37">
        <f>IF(A272="",0,C272+F272)</f>
        <v>1969.79</v>
      </c>
      <c r="H272" s="37">
        <f>IF(A272="",0,MAX(H271-D272-F272,0))</f>
        <v>7830.73</v>
      </c>
      <c r="I272" s="37">
        <f>IF(A272="",0,I271+E272)</f>
        <v>255734.45000000007</v>
      </c>
    </row>
    <row r="273" ht="26" customHeight="1" spans="1:9" x14ac:dyDescent="0.25">
      <c r="A273" s="32">
        <f>IF(H272&gt;0,269,"")</f>
        <v>269</v>
      </c>
      <c r="B273" s="33">
        <f>IF(A273="","",DATE(YEAR('Mortgage Setup'!B8),MONTH('Mortgage Setup'!B8)+268,DAY('Mortgage Setup'!B8)))</f>
        <v>54179</v>
      </c>
      <c r="C273" s="34">
        <f>IF(A273="",0,IF(H272&lt;=0,0,MIN('Mortgage Setup'!B12,H272*(1+'Mortgage Setup'!B6/12))))</f>
        <v>1769.79</v>
      </c>
      <c r="D273" s="34">
        <f>IF(A273="",0,IF(H272&lt;=0,0,MIN(C273-E273,H272)))</f>
        <v>1727.37</v>
      </c>
      <c r="E273" s="34">
        <f>IF(A273="",0,IF(H272&lt;=0,0,ROUND(H272*('Mortgage Setup'!B6/12),2)))</f>
        <v>42.42</v>
      </c>
      <c r="F273" s="34">
        <f>IF(A273="",0,IF(H272&lt;=0,0,MIN('Mortgage Setup'!B9,MAX(H272-D273,0))))</f>
        <v>200</v>
      </c>
      <c r="G273" s="34">
        <f>IF(A273="",0,C273+F273)</f>
        <v>1969.79</v>
      </c>
      <c r="H273" s="34">
        <f>IF(A273="",0,MAX(H272-D273-F273,0))</f>
        <v>5903.36</v>
      </c>
      <c r="I273" s="34">
        <f>IF(A273="",0,I272+E273)</f>
        <v>255776.87000000008</v>
      </c>
    </row>
    <row r="274" ht="26" customHeight="1" spans="1:9" x14ac:dyDescent="0.25">
      <c r="A274" s="35">
        <f>IF(H273&gt;0,270,"")</f>
        <v>270</v>
      </c>
      <c r="B274" s="36">
        <f>IF(A274="","",DATE(YEAR('Mortgage Setup'!B8),MONTH('Mortgage Setup'!B8)+269,DAY('Mortgage Setup'!B8)))</f>
        <v>54210</v>
      </c>
      <c r="C274" s="37">
        <f>IF(A274="",0,IF(H273&lt;=0,0,MIN('Mortgage Setup'!B12,H273*(1+'Mortgage Setup'!B6/12))))</f>
        <v>1769.79</v>
      </c>
      <c r="D274" s="37">
        <f>IF(A274="",0,IF(H273&lt;=0,0,MIN(C274-E274,H273)))</f>
        <v>1737.81</v>
      </c>
      <c r="E274" s="37">
        <f>IF(A274="",0,IF(H273&lt;=0,0,ROUND(H273*('Mortgage Setup'!B6/12),2)))</f>
        <v>31.98</v>
      </c>
      <c r="F274" s="37">
        <f>IF(A274="",0,IF(H273&lt;=0,0,MIN('Mortgage Setup'!B9,MAX(H273-D274,0))))</f>
        <v>200</v>
      </c>
      <c r="G274" s="37">
        <f>IF(A274="",0,C274+F274)</f>
        <v>1969.79</v>
      </c>
      <c r="H274" s="37">
        <f>IF(A274="",0,MAX(H273-D274-F274,0))</f>
        <v>3965.55</v>
      </c>
      <c r="I274" s="37">
        <f>IF(A274="",0,I273+E274)</f>
        <v>255808.8500000001</v>
      </c>
    </row>
    <row r="275" ht="26" customHeight="1" spans="1:9" x14ac:dyDescent="0.25">
      <c r="A275" s="32">
        <f>IF(H274&gt;0,271,"")</f>
        <v>271</v>
      </c>
      <c r="B275" s="33">
        <f>IF(A275="","",DATE(YEAR('Mortgage Setup'!B8),MONTH('Mortgage Setup'!B8)+270,DAY('Mortgage Setup'!B8)))</f>
        <v>54240</v>
      </c>
      <c r="C275" s="34">
        <f>IF(A275="",0,IF(H274&lt;=0,0,MIN('Mortgage Setup'!B12,H274*(1+'Mortgage Setup'!B6/12))))</f>
        <v>1769.79</v>
      </c>
      <c r="D275" s="34">
        <f>IF(A275="",0,IF(H274&lt;=0,0,MIN(C275-E275,H274)))</f>
        <v>1748.31</v>
      </c>
      <c r="E275" s="34">
        <f>IF(A275="",0,IF(H274&lt;=0,0,ROUND(H274*('Mortgage Setup'!B6/12),2)))</f>
        <v>21.48</v>
      </c>
      <c r="F275" s="34">
        <f>IF(A275="",0,IF(H274&lt;=0,0,MIN('Mortgage Setup'!B9,MAX(H274-D275,0))))</f>
        <v>200</v>
      </c>
      <c r="G275" s="34">
        <f>IF(A275="",0,C275+F275)</f>
        <v>1969.79</v>
      </c>
      <c r="H275" s="34">
        <f>IF(A275="",0,MAX(H274-D275-F275,0))</f>
        <v>2017.24</v>
      </c>
      <c r="I275" s="34">
        <f>IF(A275="",0,I274+E275)</f>
        <v>255830.3300000001</v>
      </c>
    </row>
    <row r="276" ht="26" customHeight="1" spans="1:9" x14ac:dyDescent="0.25">
      <c r="A276" s="35">
        <f>IF(H275&gt;0,272,"")</f>
        <v>272</v>
      </c>
      <c r="B276" s="36">
        <f>IF(A276="","",DATE(YEAR('Mortgage Setup'!B8),MONTH('Mortgage Setup'!B8)+271,DAY('Mortgage Setup'!B8)))</f>
        <v>54271</v>
      </c>
      <c r="C276" s="37">
        <f>IF(A276="",0,IF(H275&lt;=0,0,MIN('Mortgage Setup'!B12,H275*(1+'Mortgage Setup'!B6/12))))</f>
        <v>1769.79</v>
      </c>
      <c r="D276" s="37">
        <f>IF(A276="",0,IF(H275&lt;=0,0,MIN(C276-E276,H275)))</f>
        <v>1758.86</v>
      </c>
      <c r="E276" s="37">
        <f>IF(A276="",0,IF(H275&lt;=0,0,ROUND(H275*('Mortgage Setup'!B6/12),2)))</f>
        <v>10.93</v>
      </c>
      <c r="F276" s="37">
        <f>IF(A276="",0,IF(H275&lt;=0,0,MIN('Mortgage Setup'!B9,MAX(H275-D276,0))))</f>
        <v>200</v>
      </c>
      <c r="G276" s="37">
        <f>IF(A276="",0,C276+F276)</f>
        <v>1969.79</v>
      </c>
      <c r="H276" s="37">
        <f>IF(A276="",0,MAX(H275-D276-F276,0))</f>
        <v>58.38</v>
      </c>
      <c r="I276" s="37">
        <f>IF(A276="",0,I275+E276)</f>
        <v>255841.2600000001</v>
      </c>
    </row>
    <row r="277" ht="26" customHeight="1" spans="1:9" x14ac:dyDescent="0.25">
      <c r="A277" s="32">
        <f>IF(H276&gt;0,273,"")</f>
        <v>273</v>
      </c>
      <c r="B277" s="33">
        <f>IF(A277="","",DATE(YEAR('Mortgage Setup'!B8),MONTH('Mortgage Setup'!B8)+272,DAY('Mortgage Setup'!B8)))</f>
        <v>54302</v>
      </c>
      <c r="C277" s="34">
        <f>IF(A277="",0,IF(H276&lt;=0,0,MIN('Mortgage Setup'!B12,H276*(1+'Mortgage Setup'!B6/12))))</f>
        <v>1769.79</v>
      </c>
      <c r="D277" s="34">
        <f>IF(A277="",0,IF(H276&lt;=0,0,MIN(C277-E277,H276)))</f>
        <v>58.38</v>
      </c>
      <c r="E277" s="34">
        <f>IF(A277="",0,IF(H276&lt;=0,0,ROUND(H276*('Mortgage Setup'!B6/12),2)))</f>
        <v>0.32</v>
      </c>
      <c r="F277" s="34">
        <f>IF(A277="",0,IF(H276&lt;=0,0,MIN('Mortgage Setup'!B9,MAX(H276-D277,0))))</f>
        <v>0.0001</v>
      </c>
      <c r="G277" s="34">
        <f>IF(A277="",0,C277+F277)</f>
        <v>58.7</v>
      </c>
      <c r="H277" s="34">
        <f>IF(A277="",0,MAX(H276-D277-F277,0))</f>
        <v>0.0001</v>
      </c>
      <c r="I277" s="34">
        <f>IF(A277="",0,I276+E277)</f>
        <v>255841.5800000001</v>
      </c>
    </row>
    <row r="278" ht="26" customHeight="1" spans="1:9" x14ac:dyDescent="0.25">
      <c r="A278" s="35" t="str">
        <f>IF(H277&gt;0,274,"")</f>
        <v> </v>
      </c>
      <c r="B278" s="36" t="str">
        <f>IF(A278="","",DATE(YEAR('Mortgage Setup'!B8),MONTH('Mortgage Setup'!B8)+273,DAY('Mortgage Setup'!B8)))</f>
        <v> </v>
      </c>
      <c r="C278" s="37">
        <f>IF(A278="",0,IF(H277&lt;=0,0,MIN('Mortgage Setup'!B12,H277*(1+'Mortgage Setup'!B6/12))))</f>
        <v>0.0001</v>
      </c>
      <c r="D278" s="37">
        <f>IF(A278="",0,IF(H277&lt;=0,0,MIN(C278-E278,H277)))</f>
        <v>0.0001</v>
      </c>
      <c r="E278" s="37">
        <f>IF(A278="",0,IF(H277&lt;=0,0,ROUND(H277*('Mortgage Setup'!B6/12),2)))</f>
        <v>0.0001</v>
      </c>
      <c r="F278" s="37">
        <f>IF(A278="",0,IF(H277&lt;=0,0,MIN('Mortgage Setup'!B9,MAX(H277-D278,0))))</f>
        <v>0.0001</v>
      </c>
      <c r="G278" s="37">
        <f>IF(A278="",0,C278+F278)</f>
        <v>0.0001</v>
      </c>
      <c r="H278" s="37">
        <f>IF(A278="",0,MAX(H277-D278-F278,0))</f>
        <v>0.0001</v>
      </c>
      <c r="I278" s="37">
        <f>IF(A278="",0,I277+E278)</f>
        <v>255841.5800000001</v>
      </c>
    </row>
    <row r="279" ht="26" customHeight="1" spans="1:9" x14ac:dyDescent="0.25">
      <c r="A279" s="32" t="str">
        <f>IF(H278&gt;0,275,"")</f>
        <v> </v>
      </c>
      <c r="B279" s="33" t="str">
        <f>IF(A279="","",DATE(YEAR('Mortgage Setup'!B8),MONTH('Mortgage Setup'!B8)+274,DAY('Mortgage Setup'!B8)))</f>
        <v> </v>
      </c>
      <c r="C279" s="34">
        <f>IF(A279="",0,IF(H278&lt;=0,0,MIN('Mortgage Setup'!B12,H278*(1+'Mortgage Setup'!B6/12))))</f>
        <v>0.0001</v>
      </c>
      <c r="D279" s="34">
        <f>IF(A279="",0,IF(H278&lt;=0,0,MIN(C279-E279,H278)))</f>
        <v>0.0001</v>
      </c>
      <c r="E279" s="34">
        <f>IF(A279="",0,IF(H278&lt;=0,0,ROUND(H278*('Mortgage Setup'!B6/12),2)))</f>
        <v>0.0001</v>
      </c>
      <c r="F279" s="34">
        <f>IF(A279="",0,IF(H278&lt;=0,0,MIN('Mortgage Setup'!B9,MAX(H278-D279,0))))</f>
        <v>0.0001</v>
      </c>
      <c r="G279" s="34">
        <f>IF(A279="",0,C279+F279)</f>
        <v>0.0001</v>
      </c>
      <c r="H279" s="34">
        <f>IF(A279="",0,MAX(H278-D279-F279,0))</f>
        <v>0.0001</v>
      </c>
      <c r="I279" s="34">
        <f>IF(A279="",0,I278+E279)</f>
        <v>255841.5800000001</v>
      </c>
    </row>
    <row r="280" ht="26" customHeight="1" spans="1:9" x14ac:dyDescent="0.25">
      <c r="A280" s="35" t="str">
        <f>IF(H279&gt;0,276,"")</f>
        <v> </v>
      </c>
      <c r="B280" s="36" t="str">
        <f>IF(A280="","",DATE(YEAR('Mortgage Setup'!B8),MONTH('Mortgage Setup'!B8)+275,DAY('Mortgage Setup'!B8)))</f>
        <v> </v>
      </c>
      <c r="C280" s="37">
        <f>IF(A280="",0,IF(H279&lt;=0,0,MIN('Mortgage Setup'!B12,H279*(1+'Mortgage Setup'!B6/12))))</f>
        <v>0.0001</v>
      </c>
      <c r="D280" s="37">
        <f>IF(A280="",0,IF(H279&lt;=0,0,MIN(C280-E280,H279)))</f>
        <v>0.0001</v>
      </c>
      <c r="E280" s="37">
        <f>IF(A280="",0,IF(H279&lt;=0,0,ROUND(H279*('Mortgage Setup'!B6/12),2)))</f>
        <v>0.0001</v>
      </c>
      <c r="F280" s="37">
        <f>IF(A280="",0,IF(H279&lt;=0,0,MIN('Mortgage Setup'!B9,MAX(H279-D280,0))))</f>
        <v>0.0001</v>
      </c>
      <c r="G280" s="37">
        <f>IF(A280="",0,C280+F280)</f>
        <v>0.0001</v>
      </c>
      <c r="H280" s="37">
        <f>IF(A280="",0,MAX(H279-D280-F280,0))</f>
        <v>0.0001</v>
      </c>
      <c r="I280" s="37">
        <f>IF(A280="",0,I279+E280)</f>
        <v>255841.5800000001</v>
      </c>
    </row>
    <row r="281" ht="26" customHeight="1" spans="1:9" x14ac:dyDescent="0.25">
      <c r="A281" s="32" t="str">
        <f>IF(H280&gt;0,277,"")</f>
        <v> </v>
      </c>
      <c r="B281" s="33" t="str">
        <f>IF(A281="","",DATE(YEAR('Mortgage Setup'!B8),MONTH('Mortgage Setup'!B8)+276,DAY('Mortgage Setup'!B8)))</f>
        <v> </v>
      </c>
      <c r="C281" s="34">
        <f>IF(A281="",0,IF(H280&lt;=0,0,MIN('Mortgage Setup'!B12,H280*(1+'Mortgage Setup'!B6/12))))</f>
        <v>0.0001</v>
      </c>
      <c r="D281" s="34">
        <f>IF(A281="",0,IF(H280&lt;=0,0,MIN(C281-E281,H280)))</f>
        <v>0.0001</v>
      </c>
      <c r="E281" s="34">
        <f>IF(A281="",0,IF(H280&lt;=0,0,ROUND(H280*('Mortgage Setup'!B6/12),2)))</f>
        <v>0.0001</v>
      </c>
      <c r="F281" s="34">
        <f>IF(A281="",0,IF(H280&lt;=0,0,MIN('Mortgage Setup'!B9,MAX(H280-D281,0))))</f>
        <v>0.0001</v>
      </c>
      <c r="G281" s="34">
        <f>IF(A281="",0,C281+F281)</f>
        <v>0.0001</v>
      </c>
      <c r="H281" s="34">
        <f>IF(A281="",0,MAX(H280-D281-F281,0))</f>
        <v>0.0001</v>
      </c>
      <c r="I281" s="34">
        <f>IF(A281="",0,I280+E281)</f>
        <v>255841.5800000001</v>
      </c>
    </row>
    <row r="282" ht="26" customHeight="1" spans="1:9" x14ac:dyDescent="0.25">
      <c r="A282" s="35" t="str">
        <f>IF(H281&gt;0,278,"")</f>
        <v> </v>
      </c>
      <c r="B282" s="36" t="str">
        <f>IF(A282="","",DATE(YEAR('Mortgage Setup'!B8),MONTH('Mortgage Setup'!B8)+277,DAY('Mortgage Setup'!B8)))</f>
        <v> </v>
      </c>
      <c r="C282" s="37">
        <f>IF(A282="",0,IF(H281&lt;=0,0,MIN('Mortgage Setup'!B12,H281*(1+'Mortgage Setup'!B6/12))))</f>
        <v>0.0001</v>
      </c>
      <c r="D282" s="37">
        <f>IF(A282="",0,IF(H281&lt;=0,0,MIN(C282-E282,H281)))</f>
        <v>0.0001</v>
      </c>
      <c r="E282" s="37">
        <f>IF(A282="",0,IF(H281&lt;=0,0,ROUND(H281*('Mortgage Setup'!B6/12),2)))</f>
        <v>0.0001</v>
      </c>
      <c r="F282" s="37">
        <f>IF(A282="",0,IF(H281&lt;=0,0,MIN('Mortgage Setup'!B9,MAX(H281-D282,0))))</f>
        <v>0.0001</v>
      </c>
      <c r="G282" s="37">
        <f>IF(A282="",0,C282+F282)</f>
        <v>0.0001</v>
      </c>
      <c r="H282" s="37">
        <f>IF(A282="",0,MAX(H281-D282-F282,0))</f>
        <v>0.0001</v>
      </c>
      <c r="I282" s="37">
        <f>IF(A282="",0,I281+E282)</f>
        <v>255841.5800000001</v>
      </c>
    </row>
    <row r="283" ht="26" customHeight="1" spans="1:9" x14ac:dyDescent="0.25">
      <c r="A283" s="32" t="str">
        <f>IF(H282&gt;0,279,"")</f>
        <v> </v>
      </c>
      <c r="B283" s="33" t="str">
        <f>IF(A283="","",DATE(YEAR('Mortgage Setup'!B8),MONTH('Mortgage Setup'!B8)+278,DAY('Mortgage Setup'!B8)))</f>
        <v> </v>
      </c>
      <c r="C283" s="34">
        <f>IF(A283="",0,IF(H282&lt;=0,0,MIN('Mortgage Setup'!B12,H282*(1+'Mortgage Setup'!B6/12))))</f>
        <v>0.0001</v>
      </c>
      <c r="D283" s="34">
        <f>IF(A283="",0,IF(H282&lt;=0,0,MIN(C283-E283,H282)))</f>
        <v>0.0001</v>
      </c>
      <c r="E283" s="34">
        <f>IF(A283="",0,IF(H282&lt;=0,0,ROUND(H282*('Mortgage Setup'!B6/12),2)))</f>
        <v>0.0001</v>
      </c>
      <c r="F283" s="34">
        <f>IF(A283="",0,IF(H282&lt;=0,0,MIN('Mortgage Setup'!B9,MAX(H282-D283,0))))</f>
        <v>0.0001</v>
      </c>
      <c r="G283" s="34">
        <f>IF(A283="",0,C283+F283)</f>
        <v>0.0001</v>
      </c>
      <c r="H283" s="34">
        <f>IF(A283="",0,MAX(H282-D283-F283,0))</f>
        <v>0.0001</v>
      </c>
      <c r="I283" s="34">
        <f>IF(A283="",0,I282+E283)</f>
        <v>255841.5800000001</v>
      </c>
    </row>
    <row r="284" ht="26" customHeight="1" spans="1:9" x14ac:dyDescent="0.25">
      <c r="A284" s="35" t="str">
        <f>IF(H283&gt;0,280,"")</f>
        <v> </v>
      </c>
      <c r="B284" s="36" t="str">
        <f>IF(A284="","",DATE(YEAR('Mortgage Setup'!B8),MONTH('Mortgage Setup'!B8)+279,DAY('Mortgage Setup'!B8)))</f>
        <v> </v>
      </c>
      <c r="C284" s="37">
        <f>IF(A284="",0,IF(H283&lt;=0,0,MIN('Mortgage Setup'!B12,H283*(1+'Mortgage Setup'!B6/12))))</f>
        <v>0.0001</v>
      </c>
      <c r="D284" s="37">
        <f>IF(A284="",0,IF(H283&lt;=0,0,MIN(C284-E284,H283)))</f>
        <v>0.0001</v>
      </c>
      <c r="E284" s="37">
        <f>IF(A284="",0,IF(H283&lt;=0,0,ROUND(H283*('Mortgage Setup'!B6/12),2)))</f>
        <v>0.0001</v>
      </c>
      <c r="F284" s="37">
        <f>IF(A284="",0,IF(H283&lt;=0,0,MIN('Mortgage Setup'!B9,MAX(H283-D284,0))))</f>
        <v>0.0001</v>
      </c>
      <c r="G284" s="37">
        <f>IF(A284="",0,C284+F284)</f>
        <v>0.0001</v>
      </c>
      <c r="H284" s="37">
        <f>IF(A284="",0,MAX(H283-D284-F284,0))</f>
        <v>0.0001</v>
      </c>
      <c r="I284" s="37">
        <f>IF(A284="",0,I283+E284)</f>
        <v>255841.5800000001</v>
      </c>
    </row>
    <row r="285" ht="26" customHeight="1" spans="1:9" x14ac:dyDescent="0.25">
      <c r="A285" s="32" t="str">
        <f>IF(H284&gt;0,281,"")</f>
        <v> </v>
      </c>
      <c r="B285" s="33" t="str">
        <f>IF(A285="","",DATE(YEAR('Mortgage Setup'!B8),MONTH('Mortgage Setup'!B8)+280,DAY('Mortgage Setup'!B8)))</f>
        <v> </v>
      </c>
      <c r="C285" s="34">
        <f>IF(A285="",0,IF(H284&lt;=0,0,MIN('Mortgage Setup'!B12,H284*(1+'Mortgage Setup'!B6/12))))</f>
        <v>0.0001</v>
      </c>
      <c r="D285" s="34">
        <f>IF(A285="",0,IF(H284&lt;=0,0,MIN(C285-E285,H284)))</f>
        <v>0.0001</v>
      </c>
      <c r="E285" s="34">
        <f>IF(A285="",0,IF(H284&lt;=0,0,ROUND(H284*('Mortgage Setup'!B6/12),2)))</f>
        <v>0.0001</v>
      </c>
      <c r="F285" s="34">
        <f>IF(A285="",0,IF(H284&lt;=0,0,MIN('Mortgage Setup'!B9,MAX(H284-D285,0))))</f>
        <v>0.0001</v>
      </c>
      <c r="G285" s="34">
        <f>IF(A285="",0,C285+F285)</f>
        <v>0.0001</v>
      </c>
      <c r="H285" s="34">
        <f>IF(A285="",0,MAX(H284-D285-F285,0))</f>
        <v>0.0001</v>
      </c>
      <c r="I285" s="34">
        <f>IF(A285="",0,I284+E285)</f>
        <v>255841.5800000001</v>
      </c>
    </row>
    <row r="286" ht="26" customHeight="1" spans="1:9" x14ac:dyDescent="0.25">
      <c r="A286" s="35" t="str">
        <f>IF(H285&gt;0,282,"")</f>
        <v> </v>
      </c>
      <c r="B286" s="36" t="str">
        <f>IF(A286="","",DATE(YEAR('Mortgage Setup'!B8),MONTH('Mortgage Setup'!B8)+281,DAY('Mortgage Setup'!B8)))</f>
        <v> </v>
      </c>
      <c r="C286" s="37">
        <f>IF(A286="",0,IF(H285&lt;=0,0,MIN('Mortgage Setup'!B12,H285*(1+'Mortgage Setup'!B6/12))))</f>
        <v>0.0001</v>
      </c>
      <c r="D286" s="37">
        <f>IF(A286="",0,IF(H285&lt;=0,0,MIN(C286-E286,H285)))</f>
        <v>0.0001</v>
      </c>
      <c r="E286" s="37">
        <f>IF(A286="",0,IF(H285&lt;=0,0,ROUND(H285*('Mortgage Setup'!B6/12),2)))</f>
        <v>0.0001</v>
      </c>
      <c r="F286" s="37">
        <f>IF(A286="",0,IF(H285&lt;=0,0,MIN('Mortgage Setup'!B9,MAX(H285-D286,0))))</f>
        <v>0.0001</v>
      </c>
      <c r="G286" s="37">
        <f>IF(A286="",0,C286+F286)</f>
        <v>0.0001</v>
      </c>
      <c r="H286" s="37">
        <f>IF(A286="",0,MAX(H285-D286-F286,0))</f>
        <v>0.0001</v>
      </c>
      <c r="I286" s="37">
        <f>IF(A286="",0,I285+E286)</f>
        <v>255841.5800000001</v>
      </c>
    </row>
    <row r="287" ht="26" customHeight="1" spans="1:9" x14ac:dyDescent="0.25">
      <c r="A287" s="32" t="str">
        <f>IF(H286&gt;0,283,"")</f>
        <v> </v>
      </c>
      <c r="B287" s="33" t="str">
        <f>IF(A287="","",DATE(YEAR('Mortgage Setup'!B8),MONTH('Mortgage Setup'!B8)+282,DAY('Mortgage Setup'!B8)))</f>
        <v> </v>
      </c>
      <c r="C287" s="34">
        <f>IF(A287="",0,IF(H286&lt;=0,0,MIN('Mortgage Setup'!B12,H286*(1+'Mortgage Setup'!B6/12))))</f>
        <v>0.0001</v>
      </c>
      <c r="D287" s="34">
        <f>IF(A287="",0,IF(H286&lt;=0,0,MIN(C287-E287,H286)))</f>
        <v>0.0001</v>
      </c>
      <c r="E287" s="34">
        <f>IF(A287="",0,IF(H286&lt;=0,0,ROUND(H286*('Mortgage Setup'!B6/12),2)))</f>
        <v>0.0001</v>
      </c>
      <c r="F287" s="34">
        <f>IF(A287="",0,IF(H286&lt;=0,0,MIN('Mortgage Setup'!B9,MAX(H286-D287,0))))</f>
        <v>0.0001</v>
      </c>
      <c r="G287" s="34">
        <f>IF(A287="",0,C287+F287)</f>
        <v>0.0001</v>
      </c>
      <c r="H287" s="34">
        <f>IF(A287="",0,MAX(H286-D287-F287,0))</f>
        <v>0.0001</v>
      </c>
      <c r="I287" s="34">
        <f>IF(A287="",0,I286+E287)</f>
        <v>255841.5800000001</v>
      </c>
    </row>
    <row r="288" ht="26" customHeight="1" spans="1:9" x14ac:dyDescent="0.25">
      <c r="A288" s="35" t="str">
        <f>IF(H287&gt;0,284,"")</f>
        <v> </v>
      </c>
      <c r="B288" s="36" t="str">
        <f>IF(A288="","",DATE(YEAR('Mortgage Setup'!B8),MONTH('Mortgage Setup'!B8)+283,DAY('Mortgage Setup'!B8)))</f>
        <v> </v>
      </c>
      <c r="C288" s="37">
        <f>IF(A288="",0,IF(H287&lt;=0,0,MIN('Mortgage Setup'!B12,H287*(1+'Mortgage Setup'!B6/12))))</f>
        <v>0.0001</v>
      </c>
      <c r="D288" s="37">
        <f>IF(A288="",0,IF(H287&lt;=0,0,MIN(C288-E288,H287)))</f>
        <v>0.0001</v>
      </c>
      <c r="E288" s="37">
        <f>IF(A288="",0,IF(H287&lt;=0,0,ROUND(H287*('Mortgage Setup'!B6/12),2)))</f>
        <v>0.0001</v>
      </c>
      <c r="F288" s="37">
        <f>IF(A288="",0,IF(H287&lt;=0,0,MIN('Mortgage Setup'!B9,MAX(H287-D288,0))))</f>
        <v>0.0001</v>
      </c>
      <c r="G288" s="37">
        <f>IF(A288="",0,C288+F288)</f>
        <v>0.0001</v>
      </c>
      <c r="H288" s="37">
        <f>IF(A288="",0,MAX(H287-D288-F288,0))</f>
        <v>0.0001</v>
      </c>
      <c r="I288" s="37">
        <f>IF(A288="",0,I287+E288)</f>
        <v>255841.5800000001</v>
      </c>
    </row>
    <row r="289" ht="26" customHeight="1" spans="1:9" x14ac:dyDescent="0.25">
      <c r="A289" s="32" t="str">
        <f>IF(H288&gt;0,285,"")</f>
        <v> </v>
      </c>
      <c r="B289" s="33" t="str">
        <f>IF(A289="","",DATE(YEAR('Mortgage Setup'!B8),MONTH('Mortgage Setup'!B8)+284,DAY('Mortgage Setup'!B8)))</f>
        <v> </v>
      </c>
      <c r="C289" s="34">
        <f>IF(A289="",0,IF(H288&lt;=0,0,MIN('Mortgage Setup'!B12,H288*(1+'Mortgage Setup'!B6/12))))</f>
        <v>0.0001</v>
      </c>
      <c r="D289" s="34">
        <f>IF(A289="",0,IF(H288&lt;=0,0,MIN(C289-E289,H288)))</f>
        <v>0.0001</v>
      </c>
      <c r="E289" s="34">
        <f>IF(A289="",0,IF(H288&lt;=0,0,ROUND(H288*('Mortgage Setup'!B6/12),2)))</f>
        <v>0.0001</v>
      </c>
      <c r="F289" s="34">
        <f>IF(A289="",0,IF(H288&lt;=0,0,MIN('Mortgage Setup'!B9,MAX(H288-D289,0))))</f>
        <v>0.0001</v>
      </c>
      <c r="G289" s="34">
        <f>IF(A289="",0,C289+F289)</f>
        <v>0.0001</v>
      </c>
      <c r="H289" s="34">
        <f>IF(A289="",0,MAX(H288-D289-F289,0))</f>
        <v>0.0001</v>
      </c>
      <c r="I289" s="34">
        <f>IF(A289="",0,I288+E289)</f>
        <v>255841.5800000001</v>
      </c>
    </row>
    <row r="290" ht="26" customHeight="1" spans="1:9" x14ac:dyDescent="0.25">
      <c r="A290" s="35" t="str">
        <f>IF(H289&gt;0,286,"")</f>
        <v> </v>
      </c>
      <c r="B290" s="36" t="str">
        <f>IF(A290="","",DATE(YEAR('Mortgage Setup'!B8),MONTH('Mortgage Setup'!B8)+285,DAY('Mortgage Setup'!B8)))</f>
        <v> </v>
      </c>
      <c r="C290" s="37">
        <f>IF(A290="",0,IF(H289&lt;=0,0,MIN('Mortgage Setup'!B12,H289*(1+'Mortgage Setup'!B6/12))))</f>
        <v>0.0001</v>
      </c>
      <c r="D290" s="37">
        <f>IF(A290="",0,IF(H289&lt;=0,0,MIN(C290-E290,H289)))</f>
        <v>0.0001</v>
      </c>
      <c r="E290" s="37">
        <f>IF(A290="",0,IF(H289&lt;=0,0,ROUND(H289*('Mortgage Setup'!B6/12),2)))</f>
        <v>0.0001</v>
      </c>
      <c r="F290" s="37">
        <f>IF(A290="",0,IF(H289&lt;=0,0,MIN('Mortgage Setup'!B9,MAX(H289-D290,0))))</f>
        <v>0.0001</v>
      </c>
      <c r="G290" s="37">
        <f>IF(A290="",0,C290+F290)</f>
        <v>0.0001</v>
      </c>
      <c r="H290" s="37">
        <f>IF(A290="",0,MAX(H289-D290-F290,0))</f>
        <v>0.0001</v>
      </c>
      <c r="I290" s="37">
        <f>IF(A290="",0,I289+E290)</f>
        <v>255841.5800000001</v>
      </c>
    </row>
    <row r="291" ht="26" customHeight="1" spans="1:9" x14ac:dyDescent="0.25">
      <c r="A291" s="32" t="str">
        <f>IF(H290&gt;0,287,"")</f>
        <v> </v>
      </c>
      <c r="B291" s="33" t="str">
        <f>IF(A291="","",DATE(YEAR('Mortgage Setup'!B8),MONTH('Mortgage Setup'!B8)+286,DAY('Mortgage Setup'!B8)))</f>
        <v> </v>
      </c>
      <c r="C291" s="34">
        <f>IF(A291="",0,IF(H290&lt;=0,0,MIN('Mortgage Setup'!B12,H290*(1+'Mortgage Setup'!B6/12))))</f>
        <v>0.0001</v>
      </c>
      <c r="D291" s="34">
        <f>IF(A291="",0,IF(H290&lt;=0,0,MIN(C291-E291,H290)))</f>
        <v>0.0001</v>
      </c>
      <c r="E291" s="34">
        <f>IF(A291="",0,IF(H290&lt;=0,0,ROUND(H290*('Mortgage Setup'!B6/12),2)))</f>
        <v>0.0001</v>
      </c>
      <c r="F291" s="34">
        <f>IF(A291="",0,IF(H290&lt;=0,0,MIN('Mortgage Setup'!B9,MAX(H290-D291,0))))</f>
        <v>0.0001</v>
      </c>
      <c r="G291" s="34">
        <f>IF(A291="",0,C291+F291)</f>
        <v>0.0001</v>
      </c>
      <c r="H291" s="34">
        <f>IF(A291="",0,MAX(H290-D291-F291,0))</f>
        <v>0.0001</v>
      </c>
      <c r="I291" s="34">
        <f>IF(A291="",0,I290+E291)</f>
        <v>255841.5800000001</v>
      </c>
    </row>
    <row r="292" ht="26" customHeight="1" spans="1:9" x14ac:dyDescent="0.25">
      <c r="A292" s="35" t="str">
        <f>IF(H291&gt;0,288,"")</f>
        <v> </v>
      </c>
      <c r="B292" s="36" t="str">
        <f>IF(A292="","",DATE(YEAR('Mortgage Setup'!B8),MONTH('Mortgage Setup'!B8)+287,DAY('Mortgage Setup'!B8)))</f>
        <v> </v>
      </c>
      <c r="C292" s="37">
        <f>IF(A292="",0,IF(H291&lt;=0,0,MIN('Mortgage Setup'!B12,H291*(1+'Mortgage Setup'!B6/12))))</f>
        <v>0.0001</v>
      </c>
      <c r="D292" s="37">
        <f>IF(A292="",0,IF(H291&lt;=0,0,MIN(C292-E292,H291)))</f>
        <v>0.0001</v>
      </c>
      <c r="E292" s="37">
        <f>IF(A292="",0,IF(H291&lt;=0,0,ROUND(H291*('Mortgage Setup'!B6/12),2)))</f>
        <v>0.0001</v>
      </c>
      <c r="F292" s="37">
        <f>IF(A292="",0,IF(H291&lt;=0,0,MIN('Mortgage Setup'!B9,MAX(H291-D292,0))))</f>
        <v>0.0001</v>
      </c>
      <c r="G292" s="37">
        <f>IF(A292="",0,C292+F292)</f>
        <v>0.0001</v>
      </c>
      <c r="H292" s="37">
        <f>IF(A292="",0,MAX(H291-D292-F292,0))</f>
        <v>0.0001</v>
      </c>
      <c r="I292" s="37">
        <f>IF(A292="",0,I291+E292)</f>
        <v>255841.5800000001</v>
      </c>
    </row>
    <row r="293" ht="26" customHeight="1" spans="1:9" x14ac:dyDescent="0.25">
      <c r="A293" s="32" t="str">
        <f>IF(H292&gt;0,289,"")</f>
        <v> </v>
      </c>
      <c r="B293" s="33" t="str">
        <f>IF(A293="","",DATE(YEAR('Mortgage Setup'!B8),MONTH('Mortgage Setup'!B8)+288,DAY('Mortgage Setup'!B8)))</f>
        <v> </v>
      </c>
      <c r="C293" s="34">
        <f>IF(A293="",0,IF(H292&lt;=0,0,MIN('Mortgage Setup'!B12,H292*(1+'Mortgage Setup'!B6/12))))</f>
        <v>0.0001</v>
      </c>
      <c r="D293" s="34">
        <f>IF(A293="",0,IF(H292&lt;=0,0,MIN(C293-E293,H292)))</f>
        <v>0.0001</v>
      </c>
      <c r="E293" s="34">
        <f>IF(A293="",0,IF(H292&lt;=0,0,ROUND(H292*('Mortgage Setup'!B6/12),2)))</f>
        <v>0.0001</v>
      </c>
      <c r="F293" s="34">
        <f>IF(A293="",0,IF(H292&lt;=0,0,MIN('Mortgage Setup'!B9,MAX(H292-D293,0))))</f>
        <v>0.0001</v>
      </c>
      <c r="G293" s="34">
        <f>IF(A293="",0,C293+F293)</f>
        <v>0.0001</v>
      </c>
      <c r="H293" s="34">
        <f>IF(A293="",0,MAX(H292-D293-F293,0))</f>
        <v>0.0001</v>
      </c>
      <c r="I293" s="34">
        <f>IF(A293="",0,I292+E293)</f>
        <v>255841.5800000001</v>
      </c>
    </row>
    <row r="294" ht="26" customHeight="1" spans="1:9" x14ac:dyDescent="0.25">
      <c r="A294" s="35" t="str">
        <f>IF(H293&gt;0,290,"")</f>
        <v> </v>
      </c>
      <c r="B294" s="36" t="str">
        <f>IF(A294="","",DATE(YEAR('Mortgage Setup'!B8),MONTH('Mortgage Setup'!B8)+289,DAY('Mortgage Setup'!B8)))</f>
        <v> </v>
      </c>
      <c r="C294" s="37">
        <f>IF(A294="",0,IF(H293&lt;=0,0,MIN('Mortgage Setup'!B12,H293*(1+'Mortgage Setup'!B6/12))))</f>
        <v>0.0001</v>
      </c>
      <c r="D294" s="37">
        <f>IF(A294="",0,IF(H293&lt;=0,0,MIN(C294-E294,H293)))</f>
        <v>0.0001</v>
      </c>
      <c r="E294" s="37">
        <f>IF(A294="",0,IF(H293&lt;=0,0,ROUND(H293*('Mortgage Setup'!B6/12),2)))</f>
        <v>0.0001</v>
      </c>
      <c r="F294" s="37">
        <f>IF(A294="",0,IF(H293&lt;=0,0,MIN('Mortgage Setup'!B9,MAX(H293-D294,0))))</f>
        <v>0.0001</v>
      </c>
      <c r="G294" s="37">
        <f>IF(A294="",0,C294+F294)</f>
        <v>0.0001</v>
      </c>
      <c r="H294" s="37">
        <f>IF(A294="",0,MAX(H293-D294-F294,0))</f>
        <v>0.0001</v>
      </c>
      <c r="I294" s="37">
        <f>IF(A294="",0,I293+E294)</f>
        <v>255841.5800000001</v>
      </c>
    </row>
    <row r="295" ht="26" customHeight="1" spans="1:9" x14ac:dyDescent="0.25">
      <c r="A295" s="32" t="str">
        <f>IF(H294&gt;0,291,"")</f>
        <v> </v>
      </c>
      <c r="B295" s="33" t="str">
        <f>IF(A295="","",DATE(YEAR('Mortgage Setup'!B8),MONTH('Mortgage Setup'!B8)+290,DAY('Mortgage Setup'!B8)))</f>
        <v> </v>
      </c>
      <c r="C295" s="34">
        <f>IF(A295="",0,IF(H294&lt;=0,0,MIN('Mortgage Setup'!B12,H294*(1+'Mortgage Setup'!B6/12))))</f>
        <v>0.0001</v>
      </c>
      <c r="D295" s="34">
        <f>IF(A295="",0,IF(H294&lt;=0,0,MIN(C295-E295,H294)))</f>
        <v>0.0001</v>
      </c>
      <c r="E295" s="34">
        <f>IF(A295="",0,IF(H294&lt;=0,0,ROUND(H294*('Mortgage Setup'!B6/12),2)))</f>
        <v>0.0001</v>
      </c>
      <c r="F295" s="34">
        <f>IF(A295="",0,IF(H294&lt;=0,0,MIN('Mortgage Setup'!B9,MAX(H294-D295,0))))</f>
        <v>0.0001</v>
      </c>
      <c r="G295" s="34">
        <f>IF(A295="",0,C295+F295)</f>
        <v>0.0001</v>
      </c>
      <c r="H295" s="34">
        <f>IF(A295="",0,MAX(H294-D295-F295,0))</f>
        <v>0.0001</v>
      </c>
      <c r="I295" s="34">
        <f>IF(A295="",0,I294+E295)</f>
        <v>255841.5800000001</v>
      </c>
    </row>
    <row r="296" ht="26" customHeight="1" spans="1:9" x14ac:dyDescent="0.25">
      <c r="A296" s="35" t="str">
        <f>IF(H295&gt;0,292,"")</f>
        <v> </v>
      </c>
      <c r="B296" s="36" t="str">
        <f>IF(A296="","",DATE(YEAR('Mortgage Setup'!B8),MONTH('Mortgage Setup'!B8)+291,DAY('Mortgage Setup'!B8)))</f>
        <v> </v>
      </c>
      <c r="C296" s="37">
        <f>IF(A296="",0,IF(H295&lt;=0,0,MIN('Mortgage Setup'!B12,H295*(1+'Mortgage Setup'!B6/12))))</f>
        <v>0.0001</v>
      </c>
      <c r="D296" s="37">
        <f>IF(A296="",0,IF(H295&lt;=0,0,MIN(C296-E296,H295)))</f>
        <v>0.0001</v>
      </c>
      <c r="E296" s="37">
        <f>IF(A296="",0,IF(H295&lt;=0,0,ROUND(H295*('Mortgage Setup'!B6/12),2)))</f>
        <v>0.0001</v>
      </c>
      <c r="F296" s="37">
        <f>IF(A296="",0,IF(H295&lt;=0,0,MIN('Mortgage Setup'!B9,MAX(H295-D296,0))))</f>
        <v>0.0001</v>
      </c>
      <c r="G296" s="37">
        <f>IF(A296="",0,C296+F296)</f>
        <v>0.0001</v>
      </c>
      <c r="H296" s="37">
        <f>IF(A296="",0,MAX(H295-D296-F296,0))</f>
        <v>0.0001</v>
      </c>
      <c r="I296" s="37">
        <f>IF(A296="",0,I295+E296)</f>
        <v>255841.5800000001</v>
      </c>
    </row>
    <row r="297" ht="26" customHeight="1" spans="1:9" x14ac:dyDescent="0.25">
      <c r="A297" s="32" t="str">
        <f>IF(H296&gt;0,293,"")</f>
        <v> </v>
      </c>
      <c r="B297" s="33" t="str">
        <f>IF(A297="","",DATE(YEAR('Mortgage Setup'!B8),MONTH('Mortgage Setup'!B8)+292,DAY('Mortgage Setup'!B8)))</f>
        <v> </v>
      </c>
      <c r="C297" s="34">
        <f>IF(A297="",0,IF(H296&lt;=0,0,MIN('Mortgage Setup'!B12,H296*(1+'Mortgage Setup'!B6/12))))</f>
        <v>0.0001</v>
      </c>
      <c r="D297" s="34">
        <f>IF(A297="",0,IF(H296&lt;=0,0,MIN(C297-E297,H296)))</f>
        <v>0.0001</v>
      </c>
      <c r="E297" s="34">
        <f>IF(A297="",0,IF(H296&lt;=0,0,ROUND(H296*('Mortgage Setup'!B6/12),2)))</f>
        <v>0.0001</v>
      </c>
      <c r="F297" s="34">
        <f>IF(A297="",0,IF(H296&lt;=0,0,MIN('Mortgage Setup'!B9,MAX(H296-D297,0))))</f>
        <v>0.0001</v>
      </c>
      <c r="G297" s="34">
        <f>IF(A297="",0,C297+F297)</f>
        <v>0.0001</v>
      </c>
      <c r="H297" s="34">
        <f>IF(A297="",0,MAX(H296-D297-F297,0))</f>
        <v>0.0001</v>
      </c>
      <c r="I297" s="34">
        <f>IF(A297="",0,I296+E297)</f>
        <v>255841.5800000001</v>
      </c>
    </row>
    <row r="298" ht="26" customHeight="1" spans="1:9" x14ac:dyDescent="0.25">
      <c r="A298" s="35" t="str">
        <f>IF(H297&gt;0,294,"")</f>
        <v> </v>
      </c>
      <c r="B298" s="36" t="str">
        <f>IF(A298="","",DATE(YEAR('Mortgage Setup'!B8),MONTH('Mortgage Setup'!B8)+293,DAY('Mortgage Setup'!B8)))</f>
        <v> </v>
      </c>
      <c r="C298" s="37">
        <f>IF(A298="",0,IF(H297&lt;=0,0,MIN('Mortgage Setup'!B12,H297*(1+'Mortgage Setup'!B6/12))))</f>
        <v>0.0001</v>
      </c>
      <c r="D298" s="37">
        <f>IF(A298="",0,IF(H297&lt;=0,0,MIN(C298-E298,H297)))</f>
        <v>0.0001</v>
      </c>
      <c r="E298" s="37">
        <f>IF(A298="",0,IF(H297&lt;=0,0,ROUND(H297*('Mortgage Setup'!B6/12),2)))</f>
        <v>0.0001</v>
      </c>
      <c r="F298" s="37">
        <f>IF(A298="",0,IF(H297&lt;=0,0,MIN('Mortgage Setup'!B9,MAX(H297-D298,0))))</f>
        <v>0.0001</v>
      </c>
      <c r="G298" s="37">
        <f>IF(A298="",0,C298+F298)</f>
        <v>0.0001</v>
      </c>
      <c r="H298" s="37">
        <f>IF(A298="",0,MAX(H297-D298-F298,0))</f>
        <v>0.0001</v>
      </c>
      <c r="I298" s="37">
        <f>IF(A298="",0,I297+E298)</f>
        <v>255841.5800000001</v>
      </c>
    </row>
    <row r="299" ht="26" customHeight="1" spans="1:9" x14ac:dyDescent="0.25">
      <c r="A299" s="32" t="str">
        <f>IF(H298&gt;0,295,"")</f>
        <v> </v>
      </c>
      <c r="B299" s="33" t="str">
        <f>IF(A299="","",DATE(YEAR('Mortgage Setup'!B8),MONTH('Mortgage Setup'!B8)+294,DAY('Mortgage Setup'!B8)))</f>
        <v> </v>
      </c>
      <c r="C299" s="34">
        <f>IF(A299="",0,IF(H298&lt;=0,0,MIN('Mortgage Setup'!B12,H298*(1+'Mortgage Setup'!B6/12))))</f>
        <v>0.0001</v>
      </c>
      <c r="D299" s="34">
        <f>IF(A299="",0,IF(H298&lt;=0,0,MIN(C299-E299,H298)))</f>
        <v>0.0001</v>
      </c>
      <c r="E299" s="34">
        <f>IF(A299="",0,IF(H298&lt;=0,0,ROUND(H298*('Mortgage Setup'!B6/12),2)))</f>
        <v>0.0001</v>
      </c>
      <c r="F299" s="34">
        <f>IF(A299="",0,IF(H298&lt;=0,0,MIN('Mortgage Setup'!B9,MAX(H298-D299,0))))</f>
        <v>0.0001</v>
      </c>
      <c r="G299" s="34">
        <f>IF(A299="",0,C299+F299)</f>
        <v>0.0001</v>
      </c>
      <c r="H299" s="34">
        <f>IF(A299="",0,MAX(H298-D299-F299,0))</f>
        <v>0.0001</v>
      </c>
      <c r="I299" s="34">
        <f>IF(A299="",0,I298+E299)</f>
        <v>255841.5800000001</v>
      </c>
    </row>
    <row r="300" ht="26" customHeight="1" spans="1:9" x14ac:dyDescent="0.25">
      <c r="A300" s="35" t="str">
        <f>IF(H299&gt;0,296,"")</f>
        <v> </v>
      </c>
      <c r="B300" s="36" t="str">
        <f>IF(A300="","",DATE(YEAR('Mortgage Setup'!B8),MONTH('Mortgage Setup'!B8)+295,DAY('Mortgage Setup'!B8)))</f>
        <v> </v>
      </c>
      <c r="C300" s="37">
        <f>IF(A300="",0,IF(H299&lt;=0,0,MIN('Mortgage Setup'!B12,H299*(1+'Mortgage Setup'!B6/12))))</f>
        <v>0.0001</v>
      </c>
      <c r="D300" s="37">
        <f>IF(A300="",0,IF(H299&lt;=0,0,MIN(C300-E300,H299)))</f>
        <v>0.0001</v>
      </c>
      <c r="E300" s="37">
        <f>IF(A300="",0,IF(H299&lt;=0,0,ROUND(H299*('Mortgage Setup'!B6/12),2)))</f>
        <v>0.0001</v>
      </c>
      <c r="F300" s="37">
        <f>IF(A300="",0,IF(H299&lt;=0,0,MIN('Mortgage Setup'!B9,MAX(H299-D300,0))))</f>
        <v>0.0001</v>
      </c>
      <c r="G300" s="37">
        <f>IF(A300="",0,C300+F300)</f>
        <v>0.0001</v>
      </c>
      <c r="H300" s="37">
        <f>IF(A300="",0,MAX(H299-D300-F300,0))</f>
        <v>0.0001</v>
      </c>
      <c r="I300" s="37">
        <f>IF(A300="",0,I299+E300)</f>
        <v>255841.5800000001</v>
      </c>
    </row>
    <row r="301" ht="26" customHeight="1" spans="1:9" x14ac:dyDescent="0.25">
      <c r="A301" s="32" t="str">
        <f>IF(H300&gt;0,297,"")</f>
        <v> </v>
      </c>
      <c r="B301" s="33" t="str">
        <f>IF(A301="","",DATE(YEAR('Mortgage Setup'!B8),MONTH('Mortgage Setup'!B8)+296,DAY('Mortgage Setup'!B8)))</f>
        <v> </v>
      </c>
      <c r="C301" s="34">
        <f>IF(A301="",0,IF(H300&lt;=0,0,MIN('Mortgage Setup'!B12,H300*(1+'Mortgage Setup'!B6/12))))</f>
        <v>0.0001</v>
      </c>
      <c r="D301" s="34">
        <f>IF(A301="",0,IF(H300&lt;=0,0,MIN(C301-E301,H300)))</f>
        <v>0.0001</v>
      </c>
      <c r="E301" s="34">
        <f>IF(A301="",0,IF(H300&lt;=0,0,ROUND(H300*('Mortgage Setup'!B6/12),2)))</f>
        <v>0.0001</v>
      </c>
      <c r="F301" s="34">
        <f>IF(A301="",0,IF(H300&lt;=0,0,MIN('Mortgage Setup'!B9,MAX(H300-D301,0))))</f>
        <v>0.0001</v>
      </c>
      <c r="G301" s="34">
        <f>IF(A301="",0,C301+F301)</f>
        <v>0.0001</v>
      </c>
      <c r="H301" s="34">
        <f>IF(A301="",0,MAX(H300-D301-F301,0))</f>
        <v>0.0001</v>
      </c>
      <c r="I301" s="34">
        <f>IF(A301="",0,I300+E301)</f>
        <v>255841.5800000001</v>
      </c>
    </row>
    <row r="302" ht="26" customHeight="1" spans="1:9" x14ac:dyDescent="0.25">
      <c r="A302" s="35" t="str">
        <f>IF(H301&gt;0,298,"")</f>
        <v> </v>
      </c>
      <c r="B302" s="36" t="str">
        <f>IF(A302="","",DATE(YEAR('Mortgage Setup'!B8),MONTH('Mortgage Setup'!B8)+297,DAY('Mortgage Setup'!B8)))</f>
        <v> </v>
      </c>
      <c r="C302" s="37">
        <f>IF(A302="",0,IF(H301&lt;=0,0,MIN('Mortgage Setup'!B12,H301*(1+'Mortgage Setup'!B6/12))))</f>
        <v>0.0001</v>
      </c>
      <c r="D302" s="37">
        <f>IF(A302="",0,IF(H301&lt;=0,0,MIN(C302-E302,H301)))</f>
        <v>0.0001</v>
      </c>
      <c r="E302" s="37">
        <f>IF(A302="",0,IF(H301&lt;=0,0,ROUND(H301*('Mortgage Setup'!B6/12),2)))</f>
        <v>0.0001</v>
      </c>
      <c r="F302" s="37">
        <f>IF(A302="",0,IF(H301&lt;=0,0,MIN('Mortgage Setup'!B9,MAX(H301-D302,0))))</f>
        <v>0.0001</v>
      </c>
      <c r="G302" s="37">
        <f>IF(A302="",0,C302+F302)</f>
        <v>0.0001</v>
      </c>
      <c r="H302" s="37">
        <f>IF(A302="",0,MAX(H301-D302-F302,0))</f>
        <v>0.0001</v>
      </c>
      <c r="I302" s="37">
        <f>IF(A302="",0,I301+E302)</f>
        <v>255841.5800000001</v>
      </c>
    </row>
    <row r="303" ht="26" customHeight="1" spans="1:9" x14ac:dyDescent="0.25">
      <c r="A303" s="32" t="str">
        <f>IF(H302&gt;0,299,"")</f>
        <v> </v>
      </c>
      <c r="B303" s="33" t="str">
        <f>IF(A303="","",DATE(YEAR('Mortgage Setup'!B8),MONTH('Mortgage Setup'!B8)+298,DAY('Mortgage Setup'!B8)))</f>
        <v> </v>
      </c>
      <c r="C303" s="34">
        <f>IF(A303="",0,IF(H302&lt;=0,0,MIN('Mortgage Setup'!B12,H302*(1+'Mortgage Setup'!B6/12))))</f>
        <v>0.0001</v>
      </c>
      <c r="D303" s="34">
        <f>IF(A303="",0,IF(H302&lt;=0,0,MIN(C303-E303,H302)))</f>
        <v>0.0001</v>
      </c>
      <c r="E303" s="34">
        <f>IF(A303="",0,IF(H302&lt;=0,0,ROUND(H302*('Mortgage Setup'!B6/12),2)))</f>
        <v>0.0001</v>
      </c>
      <c r="F303" s="34">
        <f>IF(A303="",0,IF(H302&lt;=0,0,MIN('Mortgage Setup'!B9,MAX(H302-D303,0))))</f>
        <v>0.0001</v>
      </c>
      <c r="G303" s="34">
        <f>IF(A303="",0,C303+F303)</f>
        <v>0.0001</v>
      </c>
      <c r="H303" s="34">
        <f>IF(A303="",0,MAX(H302-D303-F303,0))</f>
        <v>0.0001</v>
      </c>
      <c r="I303" s="34">
        <f>IF(A303="",0,I302+E303)</f>
        <v>255841.5800000001</v>
      </c>
    </row>
    <row r="304" ht="26" customHeight="1" spans="1:9" x14ac:dyDescent="0.25">
      <c r="A304" s="35" t="str">
        <f>IF(H303&gt;0,300,"")</f>
        <v> </v>
      </c>
      <c r="B304" s="36" t="str">
        <f>IF(A304="","",DATE(YEAR('Mortgage Setup'!B8),MONTH('Mortgage Setup'!B8)+299,DAY('Mortgage Setup'!B8)))</f>
        <v> </v>
      </c>
      <c r="C304" s="37">
        <f>IF(A304="",0,IF(H303&lt;=0,0,MIN('Mortgage Setup'!B12,H303*(1+'Mortgage Setup'!B6/12))))</f>
        <v>0.0001</v>
      </c>
      <c r="D304" s="37">
        <f>IF(A304="",0,IF(H303&lt;=0,0,MIN(C304-E304,H303)))</f>
        <v>0.0001</v>
      </c>
      <c r="E304" s="37">
        <f>IF(A304="",0,IF(H303&lt;=0,0,ROUND(H303*('Mortgage Setup'!B6/12),2)))</f>
        <v>0.0001</v>
      </c>
      <c r="F304" s="37">
        <f>IF(A304="",0,IF(H303&lt;=0,0,MIN('Mortgage Setup'!B9,MAX(H303-D304,0))))</f>
        <v>0.0001</v>
      </c>
      <c r="G304" s="37">
        <f>IF(A304="",0,C304+F304)</f>
        <v>0.0001</v>
      </c>
      <c r="H304" s="37">
        <f>IF(A304="",0,MAX(H303-D304-F304,0))</f>
        <v>0.0001</v>
      </c>
      <c r="I304" s="37">
        <f>IF(A304="",0,I303+E304)</f>
        <v>255841.5800000001</v>
      </c>
    </row>
    <row r="305" ht="26" customHeight="1" spans="1:9" x14ac:dyDescent="0.25">
      <c r="A305" s="32" t="str">
        <f>IF(H304&gt;0,301,"")</f>
        <v> </v>
      </c>
      <c r="B305" s="33" t="str">
        <f>IF(A305="","",DATE(YEAR('Mortgage Setup'!B8),MONTH('Mortgage Setup'!B8)+300,DAY('Mortgage Setup'!B8)))</f>
        <v> </v>
      </c>
      <c r="C305" s="34">
        <f>IF(A305="",0,IF(H304&lt;=0,0,MIN('Mortgage Setup'!B12,H304*(1+'Mortgage Setup'!B6/12))))</f>
        <v>0.0001</v>
      </c>
      <c r="D305" s="34">
        <f>IF(A305="",0,IF(H304&lt;=0,0,MIN(C305-E305,H304)))</f>
        <v>0.0001</v>
      </c>
      <c r="E305" s="34">
        <f>IF(A305="",0,IF(H304&lt;=0,0,ROUND(H304*('Mortgage Setup'!B6/12),2)))</f>
        <v>0.0001</v>
      </c>
      <c r="F305" s="34">
        <f>IF(A305="",0,IF(H304&lt;=0,0,MIN('Mortgage Setup'!B9,MAX(H304-D305,0))))</f>
        <v>0.0001</v>
      </c>
      <c r="G305" s="34">
        <f>IF(A305="",0,C305+F305)</f>
        <v>0.0001</v>
      </c>
      <c r="H305" s="34">
        <f>IF(A305="",0,MAX(H304-D305-F305,0))</f>
        <v>0.0001</v>
      </c>
      <c r="I305" s="34">
        <f>IF(A305="",0,I304+E305)</f>
        <v>255841.5800000001</v>
      </c>
    </row>
    <row r="306" ht="26" customHeight="1" spans="1:9" x14ac:dyDescent="0.25">
      <c r="A306" s="35" t="str">
        <f>IF(H305&gt;0,302,"")</f>
        <v> </v>
      </c>
      <c r="B306" s="36" t="str">
        <f>IF(A306="","",DATE(YEAR('Mortgage Setup'!B8),MONTH('Mortgage Setup'!B8)+301,DAY('Mortgage Setup'!B8)))</f>
        <v> </v>
      </c>
      <c r="C306" s="37">
        <f>IF(A306="",0,IF(H305&lt;=0,0,MIN('Mortgage Setup'!B12,H305*(1+'Mortgage Setup'!B6/12))))</f>
        <v>0.0001</v>
      </c>
      <c r="D306" s="37">
        <f>IF(A306="",0,IF(H305&lt;=0,0,MIN(C306-E306,H305)))</f>
        <v>0.0001</v>
      </c>
      <c r="E306" s="37">
        <f>IF(A306="",0,IF(H305&lt;=0,0,ROUND(H305*('Mortgage Setup'!B6/12),2)))</f>
        <v>0.0001</v>
      </c>
      <c r="F306" s="37">
        <f>IF(A306="",0,IF(H305&lt;=0,0,MIN('Mortgage Setup'!B9,MAX(H305-D306,0))))</f>
        <v>0.0001</v>
      </c>
      <c r="G306" s="37">
        <f>IF(A306="",0,C306+F306)</f>
        <v>0.0001</v>
      </c>
      <c r="H306" s="37">
        <f>IF(A306="",0,MAX(H305-D306-F306,0))</f>
        <v>0.0001</v>
      </c>
      <c r="I306" s="37">
        <f>IF(A306="",0,I305+E306)</f>
        <v>255841.5800000001</v>
      </c>
    </row>
    <row r="307" ht="26" customHeight="1" spans="1:9" x14ac:dyDescent="0.25">
      <c r="A307" s="32" t="str">
        <f>IF(H306&gt;0,303,"")</f>
        <v> </v>
      </c>
      <c r="B307" s="33" t="str">
        <f>IF(A307="","",DATE(YEAR('Mortgage Setup'!B8),MONTH('Mortgage Setup'!B8)+302,DAY('Mortgage Setup'!B8)))</f>
        <v> </v>
      </c>
      <c r="C307" s="34">
        <f>IF(A307="",0,IF(H306&lt;=0,0,MIN('Mortgage Setup'!B12,H306*(1+'Mortgage Setup'!B6/12))))</f>
        <v>0.0001</v>
      </c>
      <c r="D307" s="34">
        <f>IF(A307="",0,IF(H306&lt;=0,0,MIN(C307-E307,H306)))</f>
        <v>0.0001</v>
      </c>
      <c r="E307" s="34">
        <f>IF(A307="",0,IF(H306&lt;=0,0,ROUND(H306*('Mortgage Setup'!B6/12),2)))</f>
        <v>0.0001</v>
      </c>
      <c r="F307" s="34">
        <f>IF(A307="",0,IF(H306&lt;=0,0,MIN('Mortgage Setup'!B9,MAX(H306-D307,0))))</f>
        <v>0.0001</v>
      </c>
      <c r="G307" s="34">
        <f>IF(A307="",0,C307+F307)</f>
        <v>0.0001</v>
      </c>
      <c r="H307" s="34">
        <f>IF(A307="",0,MAX(H306-D307-F307,0))</f>
        <v>0.0001</v>
      </c>
      <c r="I307" s="34">
        <f>IF(A307="",0,I306+E307)</f>
        <v>255841.5800000001</v>
      </c>
    </row>
    <row r="308" ht="26" customHeight="1" spans="1:9" x14ac:dyDescent="0.25">
      <c r="A308" s="35" t="str">
        <f>IF(H307&gt;0,304,"")</f>
        <v> </v>
      </c>
      <c r="B308" s="36" t="str">
        <f>IF(A308="","",DATE(YEAR('Mortgage Setup'!B8),MONTH('Mortgage Setup'!B8)+303,DAY('Mortgage Setup'!B8)))</f>
        <v> </v>
      </c>
      <c r="C308" s="37">
        <f>IF(A308="",0,IF(H307&lt;=0,0,MIN('Mortgage Setup'!B12,H307*(1+'Mortgage Setup'!B6/12))))</f>
        <v>0.0001</v>
      </c>
      <c r="D308" s="37">
        <f>IF(A308="",0,IF(H307&lt;=0,0,MIN(C308-E308,H307)))</f>
        <v>0.0001</v>
      </c>
      <c r="E308" s="37">
        <f>IF(A308="",0,IF(H307&lt;=0,0,ROUND(H307*('Mortgage Setup'!B6/12),2)))</f>
        <v>0.0001</v>
      </c>
      <c r="F308" s="37">
        <f>IF(A308="",0,IF(H307&lt;=0,0,MIN('Mortgage Setup'!B9,MAX(H307-D308,0))))</f>
        <v>0.0001</v>
      </c>
      <c r="G308" s="37">
        <f>IF(A308="",0,C308+F308)</f>
        <v>0.0001</v>
      </c>
      <c r="H308" s="37">
        <f>IF(A308="",0,MAX(H307-D308-F308,0))</f>
        <v>0.0001</v>
      </c>
      <c r="I308" s="37">
        <f>IF(A308="",0,I307+E308)</f>
        <v>255841.5800000001</v>
      </c>
    </row>
    <row r="309" ht="26" customHeight="1" spans="1:9" x14ac:dyDescent="0.25">
      <c r="A309" s="32" t="str">
        <f>IF(H308&gt;0,305,"")</f>
        <v> </v>
      </c>
      <c r="B309" s="33" t="str">
        <f>IF(A309="","",DATE(YEAR('Mortgage Setup'!B8),MONTH('Mortgage Setup'!B8)+304,DAY('Mortgage Setup'!B8)))</f>
        <v> </v>
      </c>
      <c r="C309" s="34">
        <f>IF(A309="",0,IF(H308&lt;=0,0,MIN('Mortgage Setup'!B12,H308*(1+'Mortgage Setup'!B6/12))))</f>
        <v>0.0001</v>
      </c>
      <c r="D309" s="34">
        <f>IF(A309="",0,IF(H308&lt;=0,0,MIN(C309-E309,H308)))</f>
        <v>0.0001</v>
      </c>
      <c r="E309" s="34">
        <f>IF(A309="",0,IF(H308&lt;=0,0,ROUND(H308*('Mortgage Setup'!B6/12),2)))</f>
        <v>0.0001</v>
      </c>
      <c r="F309" s="34">
        <f>IF(A309="",0,IF(H308&lt;=0,0,MIN('Mortgage Setup'!B9,MAX(H308-D309,0))))</f>
        <v>0.0001</v>
      </c>
      <c r="G309" s="34">
        <f>IF(A309="",0,C309+F309)</f>
        <v>0.0001</v>
      </c>
      <c r="H309" s="34">
        <f>IF(A309="",0,MAX(H308-D309-F309,0))</f>
        <v>0.0001</v>
      </c>
      <c r="I309" s="34">
        <f>IF(A309="",0,I308+E309)</f>
        <v>255841.5800000001</v>
      </c>
    </row>
    <row r="310" ht="26" customHeight="1" spans="1:9" x14ac:dyDescent="0.25">
      <c r="A310" s="35" t="str">
        <f>IF(H309&gt;0,306,"")</f>
        <v> </v>
      </c>
      <c r="B310" s="36" t="str">
        <f>IF(A310="","",DATE(YEAR('Mortgage Setup'!B8),MONTH('Mortgage Setup'!B8)+305,DAY('Mortgage Setup'!B8)))</f>
        <v> </v>
      </c>
      <c r="C310" s="37">
        <f>IF(A310="",0,IF(H309&lt;=0,0,MIN('Mortgage Setup'!B12,H309*(1+'Mortgage Setup'!B6/12))))</f>
        <v>0.0001</v>
      </c>
      <c r="D310" s="37">
        <f>IF(A310="",0,IF(H309&lt;=0,0,MIN(C310-E310,H309)))</f>
        <v>0.0001</v>
      </c>
      <c r="E310" s="37">
        <f>IF(A310="",0,IF(H309&lt;=0,0,ROUND(H309*('Mortgage Setup'!B6/12),2)))</f>
        <v>0.0001</v>
      </c>
      <c r="F310" s="37">
        <f>IF(A310="",0,IF(H309&lt;=0,0,MIN('Mortgage Setup'!B9,MAX(H309-D310,0))))</f>
        <v>0.0001</v>
      </c>
      <c r="G310" s="37">
        <f>IF(A310="",0,C310+F310)</f>
        <v>0.0001</v>
      </c>
      <c r="H310" s="37">
        <f>IF(A310="",0,MAX(H309-D310-F310,0))</f>
        <v>0.0001</v>
      </c>
      <c r="I310" s="37">
        <f>IF(A310="",0,I309+E310)</f>
        <v>255841.5800000001</v>
      </c>
    </row>
    <row r="311" ht="26" customHeight="1" spans="1:9" x14ac:dyDescent="0.25">
      <c r="A311" s="32" t="str">
        <f>IF(H310&gt;0,307,"")</f>
        <v> </v>
      </c>
      <c r="B311" s="33" t="str">
        <f>IF(A311="","",DATE(YEAR('Mortgage Setup'!B8),MONTH('Mortgage Setup'!B8)+306,DAY('Mortgage Setup'!B8)))</f>
        <v> </v>
      </c>
      <c r="C311" s="34">
        <f>IF(A311="",0,IF(H310&lt;=0,0,MIN('Mortgage Setup'!B12,H310*(1+'Mortgage Setup'!B6/12))))</f>
        <v>0.0001</v>
      </c>
      <c r="D311" s="34">
        <f>IF(A311="",0,IF(H310&lt;=0,0,MIN(C311-E311,H310)))</f>
        <v>0.0001</v>
      </c>
      <c r="E311" s="34">
        <f>IF(A311="",0,IF(H310&lt;=0,0,ROUND(H310*('Mortgage Setup'!B6/12),2)))</f>
        <v>0.0001</v>
      </c>
      <c r="F311" s="34">
        <f>IF(A311="",0,IF(H310&lt;=0,0,MIN('Mortgage Setup'!B9,MAX(H310-D311,0))))</f>
        <v>0.0001</v>
      </c>
      <c r="G311" s="34">
        <f>IF(A311="",0,C311+F311)</f>
        <v>0.0001</v>
      </c>
      <c r="H311" s="34">
        <f>IF(A311="",0,MAX(H310-D311-F311,0))</f>
        <v>0.0001</v>
      </c>
      <c r="I311" s="34">
        <f>IF(A311="",0,I310+E311)</f>
        <v>255841.5800000001</v>
      </c>
    </row>
    <row r="312" ht="26" customHeight="1" spans="1:9" x14ac:dyDescent="0.25">
      <c r="A312" s="35" t="str">
        <f>IF(H311&gt;0,308,"")</f>
        <v> </v>
      </c>
      <c r="B312" s="36" t="str">
        <f>IF(A312="","",DATE(YEAR('Mortgage Setup'!B8),MONTH('Mortgage Setup'!B8)+307,DAY('Mortgage Setup'!B8)))</f>
        <v> </v>
      </c>
      <c r="C312" s="37">
        <f>IF(A312="",0,IF(H311&lt;=0,0,MIN('Mortgage Setup'!B12,H311*(1+'Mortgage Setup'!B6/12))))</f>
        <v>0.0001</v>
      </c>
      <c r="D312" s="37">
        <f>IF(A312="",0,IF(H311&lt;=0,0,MIN(C312-E312,H311)))</f>
        <v>0.0001</v>
      </c>
      <c r="E312" s="37">
        <f>IF(A312="",0,IF(H311&lt;=0,0,ROUND(H311*('Mortgage Setup'!B6/12),2)))</f>
        <v>0.0001</v>
      </c>
      <c r="F312" s="37">
        <f>IF(A312="",0,IF(H311&lt;=0,0,MIN('Mortgage Setup'!B9,MAX(H311-D312,0))))</f>
        <v>0.0001</v>
      </c>
      <c r="G312" s="37">
        <f>IF(A312="",0,C312+F312)</f>
        <v>0.0001</v>
      </c>
      <c r="H312" s="37">
        <f>IF(A312="",0,MAX(H311-D312-F312,0))</f>
        <v>0.0001</v>
      </c>
      <c r="I312" s="37">
        <f>IF(A312="",0,I311+E312)</f>
        <v>255841.5800000001</v>
      </c>
    </row>
    <row r="313" ht="26" customHeight="1" spans="1:9" x14ac:dyDescent="0.25">
      <c r="A313" s="32" t="str">
        <f>IF(H312&gt;0,309,"")</f>
        <v> </v>
      </c>
      <c r="B313" s="33" t="str">
        <f>IF(A313="","",DATE(YEAR('Mortgage Setup'!B8),MONTH('Mortgage Setup'!B8)+308,DAY('Mortgage Setup'!B8)))</f>
        <v> </v>
      </c>
      <c r="C313" s="34">
        <f>IF(A313="",0,IF(H312&lt;=0,0,MIN('Mortgage Setup'!B12,H312*(1+'Mortgage Setup'!B6/12))))</f>
        <v>0.0001</v>
      </c>
      <c r="D313" s="34">
        <f>IF(A313="",0,IF(H312&lt;=0,0,MIN(C313-E313,H312)))</f>
        <v>0.0001</v>
      </c>
      <c r="E313" s="34">
        <f>IF(A313="",0,IF(H312&lt;=0,0,ROUND(H312*('Mortgage Setup'!B6/12),2)))</f>
        <v>0.0001</v>
      </c>
      <c r="F313" s="34">
        <f>IF(A313="",0,IF(H312&lt;=0,0,MIN('Mortgage Setup'!B9,MAX(H312-D313,0))))</f>
        <v>0.0001</v>
      </c>
      <c r="G313" s="34">
        <f>IF(A313="",0,C313+F313)</f>
        <v>0.0001</v>
      </c>
      <c r="H313" s="34">
        <f>IF(A313="",0,MAX(H312-D313-F313,0))</f>
        <v>0.0001</v>
      </c>
      <c r="I313" s="34">
        <f>IF(A313="",0,I312+E313)</f>
        <v>255841.5800000001</v>
      </c>
    </row>
    <row r="314" ht="26" customHeight="1" spans="1:9" x14ac:dyDescent="0.25">
      <c r="A314" s="35" t="str">
        <f>IF(H313&gt;0,310,"")</f>
        <v> </v>
      </c>
      <c r="B314" s="36" t="str">
        <f>IF(A314="","",DATE(YEAR('Mortgage Setup'!B8),MONTH('Mortgage Setup'!B8)+309,DAY('Mortgage Setup'!B8)))</f>
        <v> </v>
      </c>
      <c r="C314" s="37">
        <f>IF(A314="",0,IF(H313&lt;=0,0,MIN('Mortgage Setup'!B12,H313*(1+'Mortgage Setup'!B6/12))))</f>
        <v>0.0001</v>
      </c>
      <c r="D314" s="37">
        <f>IF(A314="",0,IF(H313&lt;=0,0,MIN(C314-E314,H313)))</f>
        <v>0.0001</v>
      </c>
      <c r="E314" s="37">
        <f>IF(A314="",0,IF(H313&lt;=0,0,ROUND(H313*('Mortgage Setup'!B6/12),2)))</f>
        <v>0.0001</v>
      </c>
      <c r="F314" s="37">
        <f>IF(A314="",0,IF(H313&lt;=0,0,MIN('Mortgage Setup'!B9,MAX(H313-D314,0))))</f>
        <v>0.0001</v>
      </c>
      <c r="G314" s="37">
        <f>IF(A314="",0,C314+F314)</f>
        <v>0.0001</v>
      </c>
      <c r="H314" s="37">
        <f>IF(A314="",0,MAX(H313-D314-F314,0))</f>
        <v>0.0001</v>
      </c>
      <c r="I314" s="37">
        <f>IF(A314="",0,I313+E314)</f>
        <v>255841.5800000001</v>
      </c>
    </row>
    <row r="315" ht="26" customHeight="1" spans="1:9" x14ac:dyDescent="0.25">
      <c r="A315" s="32" t="str">
        <f>IF(H314&gt;0,311,"")</f>
        <v> </v>
      </c>
      <c r="B315" s="33" t="str">
        <f>IF(A315="","",DATE(YEAR('Mortgage Setup'!B8),MONTH('Mortgage Setup'!B8)+310,DAY('Mortgage Setup'!B8)))</f>
        <v> </v>
      </c>
      <c r="C315" s="34">
        <f>IF(A315="",0,IF(H314&lt;=0,0,MIN('Mortgage Setup'!B12,H314*(1+'Mortgage Setup'!B6/12))))</f>
        <v>0.0001</v>
      </c>
      <c r="D315" s="34">
        <f>IF(A315="",0,IF(H314&lt;=0,0,MIN(C315-E315,H314)))</f>
        <v>0.0001</v>
      </c>
      <c r="E315" s="34">
        <f>IF(A315="",0,IF(H314&lt;=0,0,ROUND(H314*('Mortgage Setup'!B6/12),2)))</f>
        <v>0.0001</v>
      </c>
      <c r="F315" s="34">
        <f>IF(A315="",0,IF(H314&lt;=0,0,MIN('Mortgage Setup'!B9,MAX(H314-D315,0))))</f>
        <v>0.0001</v>
      </c>
      <c r="G315" s="34">
        <f>IF(A315="",0,C315+F315)</f>
        <v>0.0001</v>
      </c>
      <c r="H315" s="34">
        <f>IF(A315="",0,MAX(H314-D315-F315,0))</f>
        <v>0.0001</v>
      </c>
      <c r="I315" s="34">
        <f>IF(A315="",0,I314+E315)</f>
        <v>255841.5800000001</v>
      </c>
    </row>
    <row r="316" ht="26" customHeight="1" spans="1:9" x14ac:dyDescent="0.25">
      <c r="A316" s="35" t="str">
        <f>IF(H315&gt;0,312,"")</f>
        <v> </v>
      </c>
      <c r="B316" s="36" t="str">
        <f>IF(A316="","",DATE(YEAR('Mortgage Setup'!B8),MONTH('Mortgage Setup'!B8)+311,DAY('Mortgage Setup'!B8)))</f>
        <v> </v>
      </c>
      <c r="C316" s="37">
        <f>IF(A316="",0,IF(H315&lt;=0,0,MIN('Mortgage Setup'!B12,H315*(1+'Mortgage Setup'!B6/12))))</f>
        <v>0.0001</v>
      </c>
      <c r="D316" s="37">
        <f>IF(A316="",0,IF(H315&lt;=0,0,MIN(C316-E316,H315)))</f>
        <v>0.0001</v>
      </c>
      <c r="E316" s="37">
        <f>IF(A316="",0,IF(H315&lt;=0,0,ROUND(H315*('Mortgage Setup'!B6/12),2)))</f>
        <v>0.0001</v>
      </c>
      <c r="F316" s="37">
        <f>IF(A316="",0,IF(H315&lt;=0,0,MIN('Mortgage Setup'!B9,MAX(H315-D316,0))))</f>
        <v>0.0001</v>
      </c>
      <c r="G316" s="37">
        <f>IF(A316="",0,C316+F316)</f>
        <v>0.0001</v>
      </c>
      <c r="H316" s="37">
        <f>IF(A316="",0,MAX(H315-D316-F316,0))</f>
        <v>0.0001</v>
      </c>
      <c r="I316" s="37">
        <f>IF(A316="",0,I315+E316)</f>
        <v>255841.5800000001</v>
      </c>
    </row>
    <row r="317" ht="26" customHeight="1" spans="1:9" x14ac:dyDescent="0.25">
      <c r="A317" s="32" t="str">
        <f>IF(H316&gt;0,313,"")</f>
        <v> </v>
      </c>
      <c r="B317" s="33" t="str">
        <f>IF(A317="","",DATE(YEAR('Mortgage Setup'!B8),MONTH('Mortgage Setup'!B8)+312,DAY('Mortgage Setup'!B8)))</f>
        <v> </v>
      </c>
      <c r="C317" s="34">
        <f>IF(A317="",0,IF(H316&lt;=0,0,MIN('Mortgage Setup'!B12,H316*(1+'Mortgage Setup'!B6/12))))</f>
        <v>0.0001</v>
      </c>
      <c r="D317" s="34">
        <f>IF(A317="",0,IF(H316&lt;=0,0,MIN(C317-E317,H316)))</f>
        <v>0.0001</v>
      </c>
      <c r="E317" s="34">
        <f>IF(A317="",0,IF(H316&lt;=0,0,ROUND(H316*('Mortgage Setup'!B6/12),2)))</f>
        <v>0.0001</v>
      </c>
      <c r="F317" s="34">
        <f>IF(A317="",0,IF(H316&lt;=0,0,MIN('Mortgage Setup'!B9,MAX(H316-D317,0))))</f>
        <v>0.0001</v>
      </c>
      <c r="G317" s="34">
        <f>IF(A317="",0,C317+F317)</f>
        <v>0.0001</v>
      </c>
      <c r="H317" s="34">
        <f>IF(A317="",0,MAX(H316-D317-F317,0))</f>
        <v>0.0001</v>
      </c>
      <c r="I317" s="34">
        <f>IF(A317="",0,I316+E317)</f>
        <v>255841.5800000001</v>
      </c>
    </row>
    <row r="318" ht="26" customHeight="1" spans="1:9" x14ac:dyDescent="0.25">
      <c r="A318" s="35" t="str">
        <f>IF(H317&gt;0,314,"")</f>
        <v> </v>
      </c>
      <c r="B318" s="36" t="str">
        <f>IF(A318="","",DATE(YEAR('Mortgage Setup'!B8),MONTH('Mortgage Setup'!B8)+313,DAY('Mortgage Setup'!B8)))</f>
        <v> </v>
      </c>
      <c r="C318" s="37">
        <f>IF(A318="",0,IF(H317&lt;=0,0,MIN('Mortgage Setup'!B12,H317*(1+'Mortgage Setup'!B6/12))))</f>
        <v>0.0001</v>
      </c>
      <c r="D318" s="37">
        <f>IF(A318="",0,IF(H317&lt;=0,0,MIN(C318-E318,H317)))</f>
        <v>0.0001</v>
      </c>
      <c r="E318" s="37">
        <f>IF(A318="",0,IF(H317&lt;=0,0,ROUND(H317*('Mortgage Setup'!B6/12),2)))</f>
        <v>0.0001</v>
      </c>
      <c r="F318" s="37">
        <f>IF(A318="",0,IF(H317&lt;=0,0,MIN('Mortgage Setup'!B9,MAX(H317-D318,0))))</f>
        <v>0.0001</v>
      </c>
      <c r="G318" s="37">
        <f>IF(A318="",0,C318+F318)</f>
        <v>0.0001</v>
      </c>
      <c r="H318" s="37">
        <f>IF(A318="",0,MAX(H317-D318-F318,0))</f>
        <v>0.0001</v>
      </c>
      <c r="I318" s="37">
        <f>IF(A318="",0,I317+E318)</f>
        <v>255841.5800000001</v>
      </c>
    </row>
    <row r="319" ht="26" customHeight="1" spans="1:9" x14ac:dyDescent="0.25">
      <c r="A319" s="32" t="str">
        <f>IF(H318&gt;0,315,"")</f>
        <v> </v>
      </c>
      <c r="B319" s="33" t="str">
        <f>IF(A319="","",DATE(YEAR('Mortgage Setup'!B8),MONTH('Mortgage Setup'!B8)+314,DAY('Mortgage Setup'!B8)))</f>
        <v> </v>
      </c>
      <c r="C319" s="34">
        <f>IF(A319="",0,IF(H318&lt;=0,0,MIN('Mortgage Setup'!B12,H318*(1+'Mortgage Setup'!B6/12))))</f>
        <v>0.0001</v>
      </c>
      <c r="D319" s="34">
        <f>IF(A319="",0,IF(H318&lt;=0,0,MIN(C319-E319,H318)))</f>
        <v>0.0001</v>
      </c>
      <c r="E319" s="34">
        <f>IF(A319="",0,IF(H318&lt;=0,0,ROUND(H318*('Mortgage Setup'!B6/12),2)))</f>
        <v>0.0001</v>
      </c>
      <c r="F319" s="34">
        <f>IF(A319="",0,IF(H318&lt;=0,0,MIN('Mortgage Setup'!B9,MAX(H318-D319,0))))</f>
        <v>0.0001</v>
      </c>
      <c r="G319" s="34">
        <f>IF(A319="",0,C319+F319)</f>
        <v>0.0001</v>
      </c>
      <c r="H319" s="34">
        <f>IF(A319="",0,MAX(H318-D319-F319,0))</f>
        <v>0.0001</v>
      </c>
      <c r="I319" s="34">
        <f>IF(A319="",0,I318+E319)</f>
        <v>255841.5800000001</v>
      </c>
    </row>
    <row r="320" ht="26" customHeight="1" spans="1:9" x14ac:dyDescent="0.25">
      <c r="A320" s="35" t="str">
        <f>IF(H319&gt;0,316,"")</f>
        <v> </v>
      </c>
      <c r="B320" s="36" t="str">
        <f>IF(A320="","",DATE(YEAR('Mortgage Setup'!B8),MONTH('Mortgage Setup'!B8)+315,DAY('Mortgage Setup'!B8)))</f>
        <v> </v>
      </c>
      <c r="C320" s="37">
        <f>IF(A320="",0,IF(H319&lt;=0,0,MIN('Mortgage Setup'!B12,H319*(1+'Mortgage Setup'!B6/12))))</f>
        <v>0.0001</v>
      </c>
      <c r="D320" s="37">
        <f>IF(A320="",0,IF(H319&lt;=0,0,MIN(C320-E320,H319)))</f>
        <v>0.0001</v>
      </c>
      <c r="E320" s="37">
        <f>IF(A320="",0,IF(H319&lt;=0,0,ROUND(H319*('Mortgage Setup'!B6/12),2)))</f>
        <v>0.0001</v>
      </c>
      <c r="F320" s="37">
        <f>IF(A320="",0,IF(H319&lt;=0,0,MIN('Mortgage Setup'!B9,MAX(H319-D320,0))))</f>
        <v>0.0001</v>
      </c>
      <c r="G320" s="37">
        <f>IF(A320="",0,C320+F320)</f>
        <v>0.0001</v>
      </c>
      <c r="H320" s="37">
        <f>IF(A320="",0,MAX(H319-D320-F320,0))</f>
        <v>0.0001</v>
      </c>
      <c r="I320" s="37">
        <f>IF(A320="",0,I319+E320)</f>
        <v>255841.5800000001</v>
      </c>
    </row>
    <row r="321" ht="26" customHeight="1" spans="1:9" x14ac:dyDescent="0.25">
      <c r="A321" s="32" t="str">
        <f>IF(H320&gt;0,317,"")</f>
        <v> </v>
      </c>
      <c r="B321" s="33" t="str">
        <f>IF(A321="","",DATE(YEAR('Mortgage Setup'!B8),MONTH('Mortgage Setup'!B8)+316,DAY('Mortgage Setup'!B8)))</f>
        <v> </v>
      </c>
      <c r="C321" s="34">
        <f>IF(A321="",0,IF(H320&lt;=0,0,MIN('Mortgage Setup'!B12,H320*(1+'Mortgage Setup'!B6/12))))</f>
        <v>0.0001</v>
      </c>
      <c r="D321" s="34">
        <f>IF(A321="",0,IF(H320&lt;=0,0,MIN(C321-E321,H320)))</f>
        <v>0.0001</v>
      </c>
      <c r="E321" s="34">
        <f>IF(A321="",0,IF(H320&lt;=0,0,ROUND(H320*('Mortgage Setup'!B6/12),2)))</f>
        <v>0.0001</v>
      </c>
      <c r="F321" s="34">
        <f>IF(A321="",0,IF(H320&lt;=0,0,MIN('Mortgage Setup'!B9,MAX(H320-D321,0))))</f>
        <v>0.0001</v>
      </c>
      <c r="G321" s="34">
        <f>IF(A321="",0,C321+F321)</f>
        <v>0.0001</v>
      </c>
      <c r="H321" s="34">
        <f>IF(A321="",0,MAX(H320-D321-F321,0))</f>
        <v>0.0001</v>
      </c>
      <c r="I321" s="34">
        <f>IF(A321="",0,I320+E321)</f>
        <v>255841.5800000001</v>
      </c>
    </row>
    <row r="322" ht="26" customHeight="1" spans="1:9" x14ac:dyDescent="0.25">
      <c r="A322" s="35" t="str">
        <f>IF(H321&gt;0,318,"")</f>
        <v> </v>
      </c>
      <c r="B322" s="36" t="str">
        <f>IF(A322="","",DATE(YEAR('Mortgage Setup'!B8),MONTH('Mortgage Setup'!B8)+317,DAY('Mortgage Setup'!B8)))</f>
        <v> </v>
      </c>
      <c r="C322" s="37">
        <f>IF(A322="",0,IF(H321&lt;=0,0,MIN('Mortgage Setup'!B12,H321*(1+'Mortgage Setup'!B6/12))))</f>
        <v>0.0001</v>
      </c>
      <c r="D322" s="37">
        <f>IF(A322="",0,IF(H321&lt;=0,0,MIN(C322-E322,H321)))</f>
        <v>0.0001</v>
      </c>
      <c r="E322" s="37">
        <f>IF(A322="",0,IF(H321&lt;=0,0,ROUND(H321*('Mortgage Setup'!B6/12),2)))</f>
        <v>0.0001</v>
      </c>
      <c r="F322" s="37">
        <f>IF(A322="",0,IF(H321&lt;=0,0,MIN('Mortgage Setup'!B9,MAX(H321-D322,0))))</f>
        <v>0.0001</v>
      </c>
      <c r="G322" s="37">
        <f>IF(A322="",0,C322+F322)</f>
        <v>0.0001</v>
      </c>
      <c r="H322" s="37">
        <f>IF(A322="",0,MAX(H321-D322-F322,0))</f>
        <v>0.0001</v>
      </c>
      <c r="I322" s="37">
        <f>IF(A322="",0,I321+E322)</f>
        <v>255841.5800000001</v>
      </c>
    </row>
    <row r="323" ht="26" customHeight="1" spans="1:9" x14ac:dyDescent="0.25">
      <c r="A323" s="32" t="str">
        <f>IF(H322&gt;0,319,"")</f>
        <v> </v>
      </c>
      <c r="B323" s="33" t="str">
        <f>IF(A323="","",DATE(YEAR('Mortgage Setup'!B8),MONTH('Mortgage Setup'!B8)+318,DAY('Mortgage Setup'!B8)))</f>
        <v> </v>
      </c>
      <c r="C323" s="34">
        <f>IF(A323="",0,IF(H322&lt;=0,0,MIN('Mortgage Setup'!B12,H322*(1+'Mortgage Setup'!B6/12))))</f>
        <v>0.0001</v>
      </c>
      <c r="D323" s="34">
        <f>IF(A323="",0,IF(H322&lt;=0,0,MIN(C323-E323,H322)))</f>
        <v>0.0001</v>
      </c>
      <c r="E323" s="34">
        <f>IF(A323="",0,IF(H322&lt;=0,0,ROUND(H322*('Mortgage Setup'!B6/12),2)))</f>
        <v>0.0001</v>
      </c>
      <c r="F323" s="34">
        <f>IF(A323="",0,IF(H322&lt;=0,0,MIN('Mortgage Setup'!B9,MAX(H322-D323,0))))</f>
        <v>0.0001</v>
      </c>
      <c r="G323" s="34">
        <f>IF(A323="",0,C323+F323)</f>
        <v>0.0001</v>
      </c>
      <c r="H323" s="34">
        <f>IF(A323="",0,MAX(H322-D323-F323,0))</f>
        <v>0.0001</v>
      </c>
      <c r="I323" s="34">
        <f>IF(A323="",0,I322+E323)</f>
        <v>255841.5800000001</v>
      </c>
    </row>
    <row r="324" ht="26" customHeight="1" spans="1:9" x14ac:dyDescent="0.25">
      <c r="A324" s="35" t="str">
        <f>IF(H323&gt;0,320,"")</f>
        <v> </v>
      </c>
      <c r="B324" s="36" t="str">
        <f>IF(A324="","",DATE(YEAR('Mortgage Setup'!B8),MONTH('Mortgage Setup'!B8)+319,DAY('Mortgage Setup'!B8)))</f>
        <v> </v>
      </c>
      <c r="C324" s="37">
        <f>IF(A324="",0,IF(H323&lt;=0,0,MIN('Mortgage Setup'!B12,H323*(1+'Mortgage Setup'!B6/12))))</f>
        <v>0.0001</v>
      </c>
      <c r="D324" s="37">
        <f>IF(A324="",0,IF(H323&lt;=0,0,MIN(C324-E324,H323)))</f>
        <v>0.0001</v>
      </c>
      <c r="E324" s="37">
        <f>IF(A324="",0,IF(H323&lt;=0,0,ROUND(H323*('Mortgage Setup'!B6/12),2)))</f>
        <v>0.0001</v>
      </c>
      <c r="F324" s="37">
        <f>IF(A324="",0,IF(H323&lt;=0,0,MIN('Mortgage Setup'!B9,MAX(H323-D324,0))))</f>
        <v>0.0001</v>
      </c>
      <c r="G324" s="37">
        <f>IF(A324="",0,C324+F324)</f>
        <v>0.0001</v>
      </c>
      <c r="H324" s="37">
        <f>IF(A324="",0,MAX(H323-D324-F324,0))</f>
        <v>0.0001</v>
      </c>
      <c r="I324" s="37">
        <f>IF(A324="",0,I323+E324)</f>
        <v>255841.5800000001</v>
      </c>
    </row>
    <row r="325" ht="26" customHeight="1" spans="1:9" x14ac:dyDescent="0.25">
      <c r="A325" s="32" t="str">
        <f>IF(H324&gt;0,321,"")</f>
        <v> </v>
      </c>
      <c r="B325" s="33" t="str">
        <f>IF(A325="","",DATE(YEAR('Mortgage Setup'!B8),MONTH('Mortgage Setup'!B8)+320,DAY('Mortgage Setup'!B8)))</f>
        <v> </v>
      </c>
      <c r="C325" s="34">
        <f>IF(A325="",0,IF(H324&lt;=0,0,MIN('Mortgage Setup'!B12,H324*(1+'Mortgage Setup'!B6/12))))</f>
        <v>0.0001</v>
      </c>
      <c r="D325" s="34">
        <f>IF(A325="",0,IF(H324&lt;=0,0,MIN(C325-E325,H324)))</f>
        <v>0.0001</v>
      </c>
      <c r="E325" s="34">
        <f>IF(A325="",0,IF(H324&lt;=0,0,ROUND(H324*('Mortgage Setup'!B6/12),2)))</f>
        <v>0.0001</v>
      </c>
      <c r="F325" s="34">
        <f>IF(A325="",0,IF(H324&lt;=0,0,MIN('Mortgage Setup'!B9,MAX(H324-D325,0))))</f>
        <v>0.0001</v>
      </c>
      <c r="G325" s="34">
        <f>IF(A325="",0,C325+F325)</f>
        <v>0.0001</v>
      </c>
      <c r="H325" s="34">
        <f>IF(A325="",0,MAX(H324-D325-F325,0))</f>
        <v>0.0001</v>
      </c>
      <c r="I325" s="34">
        <f>IF(A325="",0,I324+E325)</f>
        <v>255841.5800000001</v>
      </c>
    </row>
    <row r="326" ht="26" customHeight="1" spans="1:9" x14ac:dyDescent="0.25">
      <c r="A326" s="35" t="str">
        <f>IF(H325&gt;0,322,"")</f>
        <v> </v>
      </c>
      <c r="B326" s="36" t="str">
        <f>IF(A326="","",DATE(YEAR('Mortgage Setup'!B8),MONTH('Mortgage Setup'!B8)+321,DAY('Mortgage Setup'!B8)))</f>
        <v> </v>
      </c>
      <c r="C326" s="37">
        <f>IF(A326="",0,IF(H325&lt;=0,0,MIN('Mortgage Setup'!B12,H325*(1+'Mortgage Setup'!B6/12))))</f>
        <v>0.0001</v>
      </c>
      <c r="D326" s="37">
        <f>IF(A326="",0,IF(H325&lt;=0,0,MIN(C326-E326,H325)))</f>
        <v>0.0001</v>
      </c>
      <c r="E326" s="37">
        <f>IF(A326="",0,IF(H325&lt;=0,0,ROUND(H325*('Mortgage Setup'!B6/12),2)))</f>
        <v>0.0001</v>
      </c>
      <c r="F326" s="37">
        <f>IF(A326="",0,IF(H325&lt;=0,0,MIN('Mortgage Setup'!B9,MAX(H325-D326,0))))</f>
        <v>0.0001</v>
      </c>
      <c r="G326" s="37">
        <f>IF(A326="",0,C326+F326)</f>
        <v>0.0001</v>
      </c>
      <c r="H326" s="37">
        <f>IF(A326="",0,MAX(H325-D326-F326,0))</f>
        <v>0.0001</v>
      </c>
      <c r="I326" s="37">
        <f>IF(A326="",0,I325+E326)</f>
        <v>255841.5800000001</v>
      </c>
    </row>
    <row r="327" ht="26" customHeight="1" spans="1:9" x14ac:dyDescent="0.25">
      <c r="A327" s="32" t="str">
        <f>IF(H326&gt;0,323,"")</f>
        <v> </v>
      </c>
      <c r="B327" s="33" t="str">
        <f>IF(A327="","",DATE(YEAR('Mortgage Setup'!B8),MONTH('Mortgage Setup'!B8)+322,DAY('Mortgage Setup'!B8)))</f>
        <v> </v>
      </c>
      <c r="C327" s="34">
        <f>IF(A327="",0,IF(H326&lt;=0,0,MIN('Mortgage Setup'!B12,H326*(1+'Mortgage Setup'!B6/12))))</f>
        <v>0.0001</v>
      </c>
      <c r="D327" s="34">
        <f>IF(A327="",0,IF(H326&lt;=0,0,MIN(C327-E327,H326)))</f>
        <v>0.0001</v>
      </c>
      <c r="E327" s="34">
        <f>IF(A327="",0,IF(H326&lt;=0,0,ROUND(H326*('Mortgage Setup'!B6/12),2)))</f>
        <v>0.0001</v>
      </c>
      <c r="F327" s="34">
        <f>IF(A327="",0,IF(H326&lt;=0,0,MIN('Mortgage Setup'!B9,MAX(H326-D327,0))))</f>
        <v>0.0001</v>
      </c>
      <c r="G327" s="34">
        <f>IF(A327="",0,C327+F327)</f>
        <v>0.0001</v>
      </c>
      <c r="H327" s="34">
        <f>IF(A327="",0,MAX(H326-D327-F327,0))</f>
        <v>0.0001</v>
      </c>
      <c r="I327" s="34">
        <f>IF(A327="",0,I326+E327)</f>
        <v>255841.5800000001</v>
      </c>
    </row>
    <row r="328" ht="26" customHeight="1" spans="1:9" x14ac:dyDescent="0.25">
      <c r="A328" s="35" t="str">
        <f>IF(H327&gt;0,324,"")</f>
        <v> </v>
      </c>
      <c r="B328" s="36" t="str">
        <f>IF(A328="","",DATE(YEAR('Mortgage Setup'!B8),MONTH('Mortgage Setup'!B8)+323,DAY('Mortgage Setup'!B8)))</f>
        <v> </v>
      </c>
      <c r="C328" s="37">
        <f>IF(A328="",0,IF(H327&lt;=0,0,MIN('Mortgage Setup'!B12,H327*(1+'Mortgage Setup'!B6/12))))</f>
        <v>0.0001</v>
      </c>
      <c r="D328" s="37">
        <f>IF(A328="",0,IF(H327&lt;=0,0,MIN(C328-E328,H327)))</f>
        <v>0.0001</v>
      </c>
      <c r="E328" s="37">
        <f>IF(A328="",0,IF(H327&lt;=0,0,ROUND(H327*('Mortgage Setup'!B6/12),2)))</f>
        <v>0.0001</v>
      </c>
      <c r="F328" s="37">
        <f>IF(A328="",0,IF(H327&lt;=0,0,MIN('Mortgage Setup'!B9,MAX(H327-D328,0))))</f>
        <v>0.0001</v>
      </c>
      <c r="G328" s="37">
        <f>IF(A328="",0,C328+F328)</f>
        <v>0.0001</v>
      </c>
      <c r="H328" s="37">
        <f>IF(A328="",0,MAX(H327-D328-F328,0))</f>
        <v>0.0001</v>
      </c>
      <c r="I328" s="37">
        <f>IF(A328="",0,I327+E328)</f>
        <v>255841.5800000001</v>
      </c>
    </row>
    <row r="329" ht="26" customHeight="1" spans="1:9" x14ac:dyDescent="0.25">
      <c r="A329" s="32" t="str">
        <f>IF(H328&gt;0,325,"")</f>
        <v> </v>
      </c>
      <c r="B329" s="33" t="str">
        <f>IF(A329="","",DATE(YEAR('Mortgage Setup'!B8),MONTH('Mortgage Setup'!B8)+324,DAY('Mortgage Setup'!B8)))</f>
        <v> </v>
      </c>
      <c r="C329" s="34">
        <f>IF(A329="",0,IF(H328&lt;=0,0,MIN('Mortgage Setup'!B12,H328*(1+'Mortgage Setup'!B6/12))))</f>
        <v>0.0001</v>
      </c>
      <c r="D329" s="34">
        <f>IF(A329="",0,IF(H328&lt;=0,0,MIN(C329-E329,H328)))</f>
        <v>0.0001</v>
      </c>
      <c r="E329" s="34">
        <f>IF(A329="",0,IF(H328&lt;=0,0,ROUND(H328*('Mortgage Setup'!B6/12),2)))</f>
        <v>0.0001</v>
      </c>
      <c r="F329" s="34">
        <f>IF(A329="",0,IF(H328&lt;=0,0,MIN('Mortgage Setup'!B9,MAX(H328-D329,0))))</f>
        <v>0.0001</v>
      </c>
      <c r="G329" s="34">
        <f>IF(A329="",0,C329+F329)</f>
        <v>0.0001</v>
      </c>
      <c r="H329" s="34">
        <f>IF(A329="",0,MAX(H328-D329-F329,0))</f>
        <v>0.0001</v>
      </c>
      <c r="I329" s="34">
        <f>IF(A329="",0,I328+E329)</f>
        <v>255841.5800000001</v>
      </c>
    </row>
    <row r="330" ht="26" customHeight="1" spans="1:9" x14ac:dyDescent="0.25">
      <c r="A330" s="35" t="str">
        <f>IF(H329&gt;0,326,"")</f>
        <v> </v>
      </c>
      <c r="B330" s="36" t="str">
        <f>IF(A330="","",DATE(YEAR('Mortgage Setup'!B8),MONTH('Mortgage Setup'!B8)+325,DAY('Mortgage Setup'!B8)))</f>
        <v> </v>
      </c>
      <c r="C330" s="37">
        <f>IF(A330="",0,IF(H329&lt;=0,0,MIN('Mortgage Setup'!B12,H329*(1+'Mortgage Setup'!B6/12))))</f>
        <v>0.0001</v>
      </c>
      <c r="D330" s="37">
        <f>IF(A330="",0,IF(H329&lt;=0,0,MIN(C330-E330,H329)))</f>
        <v>0.0001</v>
      </c>
      <c r="E330" s="37">
        <f>IF(A330="",0,IF(H329&lt;=0,0,ROUND(H329*('Mortgage Setup'!B6/12),2)))</f>
        <v>0.0001</v>
      </c>
      <c r="F330" s="37">
        <f>IF(A330="",0,IF(H329&lt;=0,0,MIN('Mortgage Setup'!B9,MAX(H329-D330,0))))</f>
        <v>0.0001</v>
      </c>
      <c r="G330" s="37">
        <f>IF(A330="",0,C330+F330)</f>
        <v>0.0001</v>
      </c>
      <c r="H330" s="37">
        <f>IF(A330="",0,MAX(H329-D330-F330,0))</f>
        <v>0.0001</v>
      </c>
      <c r="I330" s="37">
        <f>IF(A330="",0,I329+E330)</f>
        <v>255841.5800000001</v>
      </c>
    </row>
    <row r="331" ht="26" customHeight="1" spans="1:9" x14ac:dyDescent="0.25">
      <c r="A331" s="32" t="str">
        <f>IF(H330&gt;0,327,"")</f>
        <v> </v>
      </c>
      <c r="B331" s="33" t="str">
        <f>IF(A331="","",DATE(YEAR('Mortgage Setup'!B8),MONTH('Mortgage Setup'!B8)+326,DAY('Mortgage Setup'!B8)))</f>
        <v> </v>
      </c>
      <c r="C331" s="34">
        <f>IF(A331="",0,IF(H330&lt;=0,0,MIN('Mortgage Setup'!B12,H330*(1+'Mortgage Setup'!B6/12))))</f>
        <v>0.0001</v>
      </c>
      <c r="D331" s="34">
        <f>IF(A331="",0,IF(H330&lt;=0,0,MIN(C331-E331,H330)))</f>
        <v>0.0001</v>
      </c>
      <c r="E331" s="34">
        <f>IF(A331="",0,IF(H330&lt;=0,0,ROUND(H330*('Mortgage Setup'!B6/12),2)))</f>
        <v>0.0001</v>
      </c>
      <c r="F331" s="34">
        <f>IF(A331="",0,IF(H330&lt;=0,0,MIN('Mortgage Setup'!B9,MAX(H330-D331,0))))</f>
        <v>0.0001</v>
      </c>
      <c r="G331" s="34">
        <f>IF(A331="",0,C331+F331)</f>
        <v>0.0001</v>
      </c>
      <c r="H331" s="34">
        <f>IF(A331="",0,MAX(H330-D331-F331,0))</f>
        <v>0.0001</v>
      </c>
      <c r="I331" s="34">
        <f>IF(A331="",0,I330+E331)</f>
        <v>255841.5800000001</v>
      </c>
    </row>
    <row r="332" ht="26" customHeight="1" spans="1:9" x14ac:dyDescent="0.25">
      <c r="A332" s="35" t="str">
        <f>IF(H331&gt;0,328,"")</f>
        <v> </v>
      </c>
      <c r="B332" s="36" t="str">
        <f>IF(A332="","",DATE(YEAR('Mortgage Setup'!B8),MONTH('Mortgage Setup'!B8)+327,DAY('Mortgage Setup'!B8)))</f>
        <v> </v>
      </c>
      <c r="C332" s="37">
        <f>IF(A332="",0,IF(H331&lt;=0,0,MIN('Mortgage Setup'!B12,H331*(1+'Mortgage Setup'!B6/12))))</f>
        <v>0.0001</v>
      </c>
      <c r="D332" s="37">
        <f>IF(A332="",0,IF(H331&lt;=0,0,MIN(C332-E332,H331)))</f>
        <v>0.0001</v>
      </c>
      <c r="E332" s="37">
        <f>IF(A332="",0,IF(H331&lt;=0,0,ROUND(H331*('Mortgage Setup'!B6/12),2)))</f>
        <v>0.0001</v>
      </c>
      <c r="F332" s="37">
        <f>IF(A332="",0,IF(H331&lt;=0,0,MIN('Mortgage Setup'!B9,MAX(H331-D332,0))))</f>
        <v>0.0001</v>
      </c>
      <c r="G332" s="37">
        <f>IF(A332="",0,C332+F332)</f>
        <v>0.0001</v>
      </c>
      <c r="H332" s="37">
        <f>IF(A332="",0,MAX(H331-D332-F332,0))</f>
        <v>0.0001</v>
      </c>
      <c r="I332" s="37">
        <f>IF(A332="",0,I331+E332)</f>
        <v>255841.5800000001</v>
      </c>
    </row>
    <row r="333" ht="26" customHeight="1" spans="1:9" x14ac:dyDescent="0.25">
      <c r="A333" s="32" t="str">
        <f>IF(H332&gt;0,329,"")</f>
        <v> </v>
      </c>
      <c r="B333" s="33" t="str">
        <f>IF(A333="","",DATE(YEAR('Mortgage Setup'!B8),MONTH('Mortgage Setup'!B8)+328,DAY('Mortgage Setup'!B8)))</f>
        <v> </v>
      </c>
      <c r="C333" s="34">
        <f>IF(A333="",0,IF(H332&lt;=0,0,MIN('Mortgage Setup'!B12,H332*(1+'Mortgage Setup'!B6/12))))</f>
        <v>0.0001</v>
      </c>
      <c r="D333" s="34">
        <f>IF(A333="",0,IF(H332&lt;=0,0,MIN(C333-E333,H332)))</f>
        <v>0.0001</v>
      </c>
      <c r="E333" s="34">
        <f>IF(A333="",0,IF(H332&lt;=0,0,ROUND(H332*('Mortgage Setup'!B6/12),2)))</f>
        <v>0.0001</v>
      </c>
      <c r="F333" s="34">
        <f>IF(A333="",0,IF(H332&lt;=0,0,MIN('Mortgage Setup'!B9,MAX(H332-D333,0))))</f>
        <v>0.0001</v>
      </c>
      <c r="G333" s="34">
        <f>IF(A333="",0,C333+F333)</f>
        <v>0.0001</v>
      </c>
      <c r="H333" s="34">
        <f>IF(A333="",0,MAX(H332-D333-F333,0))</f>
        <v>0.0001</v>
      </c>
      <c r="I333" s="34">
        <f>IF(A333="",0,I332+E333)</f>
        <v>255841.5800000001</v>
      </c>
    </row>
    <row r="334" ht="26" customHeight="1" spans="1:9" x14ac:dyDescent="0.25">
      <c r="A334" s="35" t="str">
        <f>IF(H333&gt;0,330,"")</f>
        <v> </v>
      </c>
      <c r="B334" s="36" t="str">
        <f>IF(A334="","",DATE(YEAR('Mortgage Setup'!B8),MONTH('Mortgage Setup'!B8)+329,DAY('Mortgage Setup'!B8)))</f>
        <v> </v>
      </c>
      <c r="C334" s="37">
        <f>IF(A334="",0,IF(H333&lt;=0,0,MIN('Mortgage Setup'!B12,H333*(1+'Mortgage Setup'!B6/12))))</f>
        <v>0.0001</v>
      </c>
      <c r="D334" s="37">
        <f>IF(A334="",0,IF(H333&lt;=0,0,MIN(C334-E334,H333)))</f>
        <v>0.0001</v>
      </c>
      <c r="E334" s="37">
        <f>IF(A334="",0,IF(H333&lt;=0,0,ROUND(H333*('Mortgage Setup'!B6/12),2)))</f>
        <v>0.0001</v>
      </c>
      <c r="F334" s="37">
        <f>IF(A334="",0,IF(H333&lt;=0,0,MIN('Mortgage Setup'!B9,MAX(H333-D334,0))))</f>
        <v>0.0001</v>
      </c>
      <c r="G334" s="37">
        <f>IF(A334="",0,C334+F334)</f>
        <v>0.0001</v>
      </c>
      <c r="H334" s="37">
        <f>IF(A334="",0,MAX(H333-D334-F334,0))</f>
        <v>0.0001</v>
      </c>
      <c r="I334" s="37">
        <f>IF(A334="",0,I333+E334)</f>
        <v>255841.5800000001</v>
      </c>
    </row>
    <row r="335" ht="26" customHeight="1" spans="1:9" x14ac:dyDescent="0.25">
      <c r="A335" s="32" t="str">
        <f>IF(H334&gt;0,331,"")</f>
        <v> </v>
      </c>
      <c r="B335" s="33" t="str">
        <f>IF(A335="","",DATE(YEAR('Mortgage Setup'!B8),MONTH('Mortgage Setup'!B8)+330,DAY('Mortgage Setup'!B8)))</f>
        <v> </v>
      </c>
      <c r="C335" s="34">
        <f>IF(A335="",0,IF(H334&lt;=0,0,MIN('Mortgage Setup'!B12,H334*(1+'Mortgage Setup'!B6/12))))</f>
        <v>0.0001</v>
      </c>
      <c r="D335" s="34">
        <f>IF(A335="",0,IF(H334&lt;=0,0,MIN(C335-E335,H334)))</f>
        <v>0.0001</v>
      </c>
      <c r="E335" s="34">
        <f>IF(A335="",0,IF(H334&lt;=0,0,ROUND(H334*('Mortgage Setup'!B6/12),2)))</f>
        <v>0.0001</v>
      </c>
      <c r="F335" s="34">
        <f>IF(A335="",0,IF(H334&lt;=0,0,MIN('Mortgage Setup'!B9,MAX(H334-D335,0))))</f>
        <v>0.0001</v>
      </c>
      <c r="G335" s="34">
        <f>IF(A335="",0,C335+F335)</f>
        <v>0.0001</v>
      </c>
      <c r="H335" s="34">
        <f>IF(A335="",0,MAX(H334-D335-F335,0))</f>
        <v>0.0001</v>
      </c>
      <c r="I335" s="34">
        <f>IF(A335="",0,I334+E335)</f>
        <v>255841.5800000001</v>
      </c>
    </row>
    <row r="336" ht="26" customHeight="1" spans="1:9" x14ac:dyDescent="0.25">
      <c r="A336" s="35" t="str">
        <f>IF(H335&gt;0,332,"")</f>
        <v> </v>
      </c>
      <c r="B336" s="36" t="str">
        <f>IF(A336="","",DATE(YEAR('Mortgage Setup'!B8),MONTH('Mortgage Setup'!B8)+331,DAY('Mortgage Setup'!B8)))</f>
        <v> </v>
      </c>
      <c r="C336" s="37">
        <f>IF(A336="",0,IF(H335&lt;=0,0,MIN('Mortgage Setup'!B12,H335*(1+'Mortgage Setup'!B6/12))))</f>
        <v>0.0001</v>
      </c>
      <c r="D336" s="37">
        <f>IF(A336="",0,IF(H335&lt;=0,0,MIN(C336-E336,H335)))</f>
        <v>0.0001</v>
      </c>
      <c r="E336" s="37">
        <f>IF(A336="",0,IF(H335&lt;=0,0,ROUND(H335*('Mortgage Setup'!B6/12),2)))</f>
        <v>0.0001</v>
      </c>
      <c r="F336" s="37">
        <f>IF(A336="",0,IF(H335&lt;=0,0,MIN('Mortgage Setup'!B9,MAX(H335-D336,0))))</f>
        <v>0.0001</v>
      </c>
      <c r="G336" s="37">
        <f>IF(A336="",0,C336+F336)</f>
        <v>0.0001</v>
      </c>
      <c r="H336" s="37">
        <f>IF(A336="",0,MAX(H335-D336-F336,0))</f>
        <v>0.0001</v>
      </c>
      <c r="I336" s="37">
        <f>IF(A336="",0,I335+E336)</f>
        <v>255841.5800000001</v>
      </c>
    </row>
    <row r="337" ht="26" customHeight="1" spans="1:9" x14ac:dyDescent="0.25">
      <c r="A337" s="32" t="str">
        <f>IF(H336&gt;0,333,"")</f>
        <v> </v>
      </c>
      <c r="B337" s="33" t="str">
        <f>IF(A337="","",DATE(YEAR('Mortgage Setup'!B8),MONTH('Mortgage Setup'!B8)+332,DAY('Mortgage Setup'!B8)))</f>
        <v> </v>
      </c>
      <c r="C337" s="34">
        <f>IF(A337="",0,IF(H336&lt;=0,0,MIN('Mortgage Setup'!B12,H336*(1+'Mortgage Setup'!B6/12))))</f>
        <v>0.0001</v>
      </c>
      <c r="D337" s="34">
        <f>IF(A337="",0,IF(H336&lt;=0,0,MIN(C337-E337,H336)))</f>
        <v>0.0001</v>
      </c>
      <c r="E337" s="34">
        <f>IF(A337="",0,IF(H336&lt;=0,0,ROUND(H336*('Mortgage Setup'!B6/12),2)))</f>
        <v>0.0001</v>
      </c>
      <c r="F337" s="34">
        <f>IF(A337="",0,IF(H336&lt;=0,0,MIN('Mortgage Setup'!B9,MAX(H336-D337,0))))</f>
        <v>0.0001</v>
      </c>
      <c r="G337" s="34">
        <f>IF(A337="",0,C337+F337)</f>
        <v>0.0001</v>
      </c>
      <c r="H337" s="34">
        <f>IF(A337="",0,MAX(H336-D337-F337,0))</f>
        <v>0.0001</v>
      </c>
      <c r="I337" s="34">
        <f>IF(A337="",0,I336+E337)</f>
        <v>255841.5800000001</v>
      </c>
    </row>
    <row r="338" ht="26" customHeight="1" spans="1:9" x14ac:dyDescent="0.25">
      <c r="A338" s="35" t="str">
        <f>IF(H337&gt;0,334,"")</f>
        <v> </v>
      </c>
      <c r="B338" s="36" t="str">
        <f>IF(A338="","",DATE(YEAR('Mortgage Setup'!B8),MONTH('Mortgage Setup'!B8)+333,DAY('Mortgage Setup'!B8)))</f>
        <v> </v>
      </c>
      <c r="C338" s="37">
        <f>IF(A338="",0,IF(H337&lt;=0,0,MIN('Mortgage Setup'!B12,H337*(1+'Mortgage Setup'!B6/12))))</f>
        <v>0.0001</v>
      </c>
      <c r="D338" s="37">
        <f>IF(A338="",0,IF(H337&lt;=0,0,MIN(C338-E338,H337)))</f>
        <v>0.0001</v>
      </c>
      <c r="E338" s="37">
        <f>IF(A338="",0,IF(H337&lt;=0,0,ROUND(H337*('Mortgage Setup'!B6/12),2)))</f>
        <v>0.0001</v>
      </c>
      <c r="F338" s="37">
        <f>IF(A338="",0,IF(H337&lt;=0,0,MIN('Mortgage Setup'!B9,MAX(H337-D338,0))))</f>
        <v>0.0001</v>
      </c>
      <c r="G338" s="37">
        <f>IF(A338="",0,C338+F338)</f>
        <v>0.0001</v>
      </c>
      <c r="H338" s="37">
        <f>IF(A338="",0,MAX(H337-D338-F338,0))</f>
        <v>0.0001</v>
      </c>
      <c r="I338" s="37">
        <f>IF(A338="",0,I337+E338)</f>
        <v>255841.5800000001</v>
      </c>
    </row>
    <row r="339" ht="26" customHeight="1" spans="1:9" x14ac:dyDescent="0.25">
      <c r="A339" s="32" t="str">
        <f>IF(H338&gt;0,335,"")</f>
        <v> </v>
      </c>
      <c r="B339" s="33" t="str">
        <f>IF(A339="","",DATE(YEAR('Mortgage Setup'!B8),MONTH('Mortgage Setup'!B8)+334,DAY('Mortgage Setup'!B8)))</f>
        <v> </v>
      </c>
      <c r="C339" s="34">
        <f>IF(A339="",0,IF(H338&lt;=0,0,MIN('Mortgage Setup'!B12,H338*(1+'Mortgage Setup'!B6/12))))</f>
        <v>0.0001</v>
      </c>
      <c r="D339" s="34">
        <f>IF(A339="",0,IF(H338&lt;=0,0,MIN(C339-E339,H338)))</f>
        <v>0.0001</v>
      </c>
      <c r="E339" s="34">
        <f>IF(A339="",0,IF(H338&lt;=0,0,ROUND(H338*('Mortgage Setup'!B6/12),2)))</f>
        <v>0.0001</v>
      </c>
      <c r="F339" s="34">
        <f>IF(A339="",0,IF(H338&lt;=0,0,MIN('Mortgage Setup'!B9,MAX(H338-D339,0))))</f>
        <v>0.0001</v>
      </c>
      <c r="G339" s="34">
        <f>IF(A339="",0,C339+F339)</f>
        <v>0.0001</v>
      </c>
      <c r="H339" s="34">
        <f>IF(A339="",0,MAX(H338-D339-F339,0))</f>
        <v>0.0001</v>
      </c>
      <c r="I339" s="34">
        <f>IF(A339="",0,I338+E339)</f>
        <v>255841.5800000001</v>
      </c>
    </row>
    <row r="340" ht="26" customHeight="1" spans="1:9" x14ac:dyDescent="0.25">
      <c r="A340" s="35" t="str">
        <f>IF(H339&gt;0,336,"")</f>
        <v> </v>
      </c>
      <c r="B340" s="36" t="str">
        <f>IF(A340="","",DATE(YEAR('Mortgage Setup'!B8),MONTH('Mortgage Setup'!B8)+335,DAY('Mortgage Setup'!B8)))</f>
        <v> </v>
      </c>
      <c r="C340" s="37">
        <f>IF(A340="",0,IF(H339&lt;=0,0,MIN('Mortgage Setup'!B12,H339*(1+'Mortgage Setup'!B6/12))))</f>
        <v>0.0001</v>
      </c>
      <c r="D340" s="37">
        <f>IF(A340="",0,IF(H339&lt;=0,0,MIN(C340-E340,H339)))</f>
        <v>0.0001</v>
      </c>
      <c r="E340" s="37">
        <f>IF(A340="",0,IF(H339&lt;=0,0,ROUND(H339*('Mortgage Setup'!B6/12),2)))</f>
        <v>0.0001</v>
      </c>
      <c r="F340" s="37">
        <f>IF(A340="",0,IF(H339&lt;=0,0,MIN('Mortgage Setup'!B9,MAX(H339-D340,0))))</f>
        <v>0.0001</v>
      </c>
      <c r="G340" s="37">
        <f>IF(A340="",0,C340+F340)</f>
        <v>0.0001</v>
      </c>
      <c r="H340" s="37">
        <f>IF(A340="",0,MAX(H339-D340-F340,0))</f>
        <v>0.0001</v>
      </c>
      <c r="I340" s="37">
        <f>IF(A340="",0,I339+E340)</f>
        <v>255841.5800000001</v>
      </c>
    </row>
    <row r="341" ht="26" customHeight="1" spans="1:9" x14ac:dyDescent="0.25">
      <c r="A341" s="32" t="str">
        <f>IF(H340&gt;0,337,"")</f>
        <v> </v>
      </c>
      <c r="B341" s="33" t="str">
        <f>IF(A341="","",DATE(YEAR('Mortgage Setup'!B8),MONTH('Mortgage Setup'!B8)+336,DAY('Mortgage Setup'!B8)))</f>
        <v> </v>
      </c>
      <c r="C341" s="34">
        <f>IF(A341="",0,IF(H340&lt;=0,0,MIN('Mortgage Setup'!B12,H340*(1+'Mortgage Setup'!B6/12))))</f>
        <v>0.0001</v>
      </c>
      <c r="D341" s="34">
        <f>IF(A341="",0,IF(H340&lt;=0,0,MIN(C341-E341,H340)))</f>
        <v>0.0001</v>
      </c>
      <c r="E341" s="34">
        <f>IF(A341="",0,IF(H340&lt;=0,0,ROUND(H340*('Mortgage Setup'!B6/12),2)))</f>
        <v>0.0001</v>
      </c>
      <c r="F341" s="34">
        <f>IF(A341="",0,IF(H340&lt;=0,0,MIN('Mortgage Setup'!B9,MAX(H340-D341,0))))</f>
        <v>0.0001</v>
      </c>
      <c r="G341" s="34">
        <f>IF(A341="",0,C341+F341)</f>
        <v>0.0001</v>
      </c>
      <c r="H341" s="34">
        <f>IF(A341="",0,MAX(H340-D341-F341,0))</f>
        <v>0.0001</v>
      </c>
      <c r="I341" s="34">
        <f>IF(A341="",0,I340+E341)</f>
        <v>255841.5800000001</v>
      </c>
    </row>
    <row r="342" ht="26" customHeight="1" spans="1:9" x14ac:dyDescent="0.25">
      <c r="A342" s="35" t="str">
        <f>IF(H341&gt;0,338,"")</f>
        <v> </v>
      </c>
      <c r="B342" s="36" t="str">
        <f>IF(A342="","",DATE(YEAR('Mortgage Setup'!B8),MONTH('Mortgage Setup'!B8)+337,DAY('Mortgage Setup'!B8)))</f>
        <v> </v>
      </c>
      <c r="C342" s="37">
        <f>IF(A342="",0,IF(H341&lt;=0,0,MIN('Mortgage Setup'!B12,H341*(1+'Mortgage Setup'!B6/12))))</f>
        <v>0.0001</v>
      </c>
      <c r="D342" s="37">
        <f>IF(A342="",0,IF(H341&lt;=0,0,MIN(C342-E342,H341)))</f>
        <v>0.0001</v>
      </c>
      <c r="E342" s="37">
        <f>IF(A342="",0,IF(H341&lt;=0,0,ROUND(H341*('Mortgage Setup'!B6/12),2)))</f>
        <v>0.0001</v>
      </c>
      <c r="F342" s="37">
        <f>IF(A342="",0,IF(H341&lt;=0,0,MIN('Mortgage Setup'!B9,MAX(H341-D342,0))))</f>
        <v>0.0001</v>
      </c>
      <c r="G342" s="37">
        <f>IF(A342="",0,C342+F342)</f>
        <v>0.0001</v>
      </c>
      <c r="H342" s="37">
        <f>IF(A342="",0,MAX(H341-D342-F342,0))</f>
        <v>0.0001</v>
      </c>
      <c r="I342" s="37">
        <f>IF(A342="",0,I341+E342)</f>
        <v>255841.5800000001</v>
      </c>
    </row>
    <row r="343" ht="26" customHeight="1" spans="1:9" x14ac:dyDescent="0.25">
      <c r="A343" s="32" t="str">
        <f>IF(H342&gt;0,339,"")</f>
        <v> </v>
      </c>
      <c r="B343" s="33" t="str">
        <f>IF(A343="","",DATE(YEAR('Mortgage Setup'!B8),MONTH('Mortgage Setup'!B8)+338,DAY('Mortgage Setup'!B8)))</f>
        <v> </v>
      </c>
      <c r="C343" s="34">
        <f>IF(A343="",0,IF(H342&lt;=0,0,MIN('Mortgage Setup'!B12,H342*(1+'Mortgage Setup'!B6/12))))</f>
        <v>0.0001</v>
      </c>
      <c r="D343" s="34">
        <f>IF(A343="",0,IF(H342&lt;=0,0,MIN(C343-E343,H342)))</f>
        <v>0.0001</v>
      </c>
      <c r="E343" s="34">
        <f>IF(A343="",0,IF(H342&lt;=0,0,ROUND(H342*('Mortgage Setup'!B6/12),2)))</f>
        <v>0.0001</v>
      </c>
      <c r="F343" s="34">
        <f>IF(A343="",0,IF(H342&lt;=0,0,MIN('Mortgage Setup'!B9,MAX(H342-D343,0))))</f>
        <v>0.0001</v>
      </c>
      <c r="G343" s="34">
        <f>IF(A343="",0,C343+F343)</f>
        <v>0.0001</v>
      </c>
      <c r="H343" s="34">
        <f>IF(A343="",0,MAX(H342-D343-F343,0))</f>
        <v>0.0001</v>
      </c>
      <c r="I343" s="34">
        <f>IF(A343="",0,I342+E343)</f>
        <v>255841.5800000001</v>
      </c>
    </row>
    <row r="344" ht="26" customHeight="1" spans="1:9" x14ac:dyDescent="0.25">
      <c r="A344" s="35" t="str">
        <f>IF(H343&gt;0,340,"")</f>
        <v> </v>
      </c>
      <c r="B344" s="36" t="str">
        <f>IF(A344="","",DATE(YEAR('Mortgage Setup'!B8),MONTH('Mortgage Setup'!B8)+339,DAY('Mortgage Setup'!B8)))</f>
        <v> </v>
      </c>
      <c r="C344" s="37">
        <f>IF(A344="",0,IF(H343&lt;=0,0,MIN('Mortgage Setup'!B12,H343*(1+'Mortgage Setup'!B6/12))))</f>
        <v>0.0001</v>
      </c>
      <c r="D344" s="37">
        <f>IF(A344="",0,IF(H343&lt;=0,0,MIN(C344-E344,H343)))</f>
        <v>0.0001</v>
      </c>
      <c r="E344" s="37">
        <f>IF(A344="",0,IF(H343&lt;=0,0,ROUND(H343*('Mortgage Setup'!B6/12),2)))</f>
        <v>0.0001</v>
      </c>
      <c r="F344" s="37">
        <f>IF(A344="",0,IF(H343&lt;=0,0,MIN('Mortgage Setup'!B9,MAX(H343-D344,0))))</f>
        <v>0.0001</v>
      </c>
      <c r="G344" s="37">
        <f>IF(A344="",0,C344+F344)</f>
        <v>0.0001</v>
      </c>
      <c r="H344" s="37">
        <f>IF(A344="",0,MAX(H343-D344-F344,0))</f>
        <v>0.0001</v>
      </c>
      <c r="I344" s="37">
        <f>IF(A344="",0,I343+E344)</f>
        <v>255841.5800000001</v>
      </c>
    </row>
    <row r="345" ht="26" customHeight="1" spans="1:9" x14ac:dyDescent="0.25">
      <c r="A345" s="32" t="str">
        <f>IF(H344&gt;0,341,"")</f>
        <v> </v>
      </c>
      <c r="B345" s="33" t="str">
        <f>IF(A345="","",DATE(YEAR('Mortgage Setup'!B8),MONTH('Mortgage Setup'!B8)+340,DAY('Mortgage Setup'!B8)))</f>
        <v> </v>
      </c>
      <c r="C345" s="34">
        <f>IF(A345="",0,IF(H344&lt;=0,0,MIN('Mortgage Setup'!B12,H344*(1+'Mortgage Setup'!B6/12))))</f>
        <v>0.0001</v>
      </c>
      <c r="D345" s="34">
        <f>IF(A345="",0,IF(H344&lt;=0,0,MIN(C345-E345,H344)))</f>
        <v>0.0001</v>
      </c>
      <c r="E345" s="34">
        <f>IF(A345="",0,IF(H344&lt;=0,0,ROUND(H344*('Mortgage Setup'!B6/12),2)))</f>
        <v>0.0001</v>
      </c>
      <c r="F345" s="34">
        <f>IF(A345="",0,IF(H344&lt;=0,0,MIN('Mortgage Setup'!B9,MAX(H344-D345,0))))</f>
        <v>0.0001</v>
      </c>
      <c r="G345" s="34">
        <f>IF(A345="",0,C345+F345)</f>
        <v>0.0001</v>
      </c>
      <c r="H345" s="34">
        <f>IF(A345="",0,MAX(H344-D345-F345,0))</f>
        <v>0.0001</v>
      </c>
      <c r="I345" s="34">
        <f>IF(A345="",0,I344+E345)</f>
        <v>255841.5800000001</v>
      </c>
    </row>
    <row r="346" ht="26" customHeight="1" spans="1:9" x14ac:dyDescent="0.25">
      <c r="A346" s="35" t="str">
        <f>IF(H345&gt;0,342,"")</f>
        <v> </v>
      </c>
      <c r="B346" s="36" t="str">
        <f>IF(A346="","",DATE(YEAR('Mortgage Setup'!B8),MONTH('Mortgage Setup'!B8)+341,DAY('Mortgage Setup'!B8)))</f>
        <v> </v>
      </c>
      <c r="C346" s="37">
        <f>IF(A346="",0,IF(H345&lt;=0,0,MIN('Mortgage Setup'!B12,H345*(1+'Mortgage Setup'!B6/12))))</f>
        <v>0.0001</v>
      </c>
      <c r="D346" s="37">
        <f>IF(A346="",0,IF(H345&lt;=0,0,MIN(C346-E346,H345)))</f>
        <v>0.0001</v>
      </c>
      <c r="E346" s="37">
        <f>IF(A346="",0,IF(H345&lt;=0,0,ROUND(H345*('Mortgage Setup'!B6/12),2)))</f>
        <v>0.0001</v>
      </c>
      <c r="F346" s="37">
        <f>IF(A346="",0,IF(H345&lt;=0,0,MIN('Mortgage Setup'!B9,MAX(H345-D346,0))))</f>
        <v>0.0001</v>
      </c>
      <c r="G346" s="37">
        <f>IF(A346="",0,C346+F346)</f>
        <v>0.0001</v>
      </c>
      <c r="H346" s="37">
        <f>IF(A346="",0,MAX(H345-D346-F346,0))</f>
        <v>0.0001</v>
      </c>
      <c r="I346" s="37">
        <f>IF(A346="",0,I345+E346)</f>
        <v>255841.5800000001</v>
      </c>
    </row>
    <row r="347" ht="26" customHeight="1" spans="1:9" x14ac:dyDescent="0.25">
      <c r="A347" s="32" t="str">
        <f>IF(H346&gt;0,343,"")</f>
        <v> </v>
      </c>
      <c r="B347" s="33" t="str">
        <f>IF(A347="","",DATE(YEAR('Mortgage Setup'!B8),MONTH('Mortgage Setup'!B8)+342,DAY('Mortgage Setup'!B8)))</f>
        <v> </v>
      </c>
      <c r="C347" s="34">
        <f>IF(A347="",0,IF(H346&lt;=0,0,MIN('Mortgage Setup'!B12,H346*(1+'Mortgage Setup'!B6/12))))</f>
        <v>0.0001</v>
      </c>
      <c r="D347" s="34">
        <f>IF(A347="",0,IF(H346&lt;=0,0,MIN(C347-E347,H346)))</f>
        <v>0.0001</v>
      </c>
      <c r="E347" s="34">
        <f>IF(A347="",0,IF(H346&lt;=0,0,ROUND(H346*('Mortgage Setup'!B6/12),2)))</f>
        <v>0.0001</v>
      </c>
      <c r="F347" s="34">
        <f>IF(A347="",0,IF(H346&lt;=0,0,MIN('Mortgage Setup'!B9,MAX(H346-D347,0))))</f>
        <v>0.0001</v>
      </c>
      <c r="G347" s="34">
        <f>IF(A347="",0,C347+F347)</f>
        <v>0.0001</v>
      </c>
      <c r="H347" s="34">
        <f>IF(A347="",0,MAX(H346-D347-F347,0))</f>
        <v>0.0001</v>
      </c>
      <c r="I347" s="34">
        <f>IF(A347="",0,I346+E347)</f>
        <v>255841.5800000001</v>
      </c>
    </row>
    <row r="348" ht="26" customHeight="1" spans="1:9" x14ac:dyDescent="0.25">
      <c r="A348" s="35" t="str">
        <f>IF(H347&gt;0,344,"")</f>
        <v> </v>
      </c>
      <c r="B348" s="36" t="str">
        <f>IF(A348="","",DATE(YEAR('Mortgage Setup'!B8),MONTH('Mortgage Setup'!B8)+343,DAY('Mortgage Setup'!B8)))</f>
        <v> </v>
      </c>
      <c r="C348" s="37">
        <f>IF(A348="",0,IF(H347&lt;=0,0,MIN('Mortgage Setup'!B12,H347*(1+'Mortgage Setup'!B6/12))))</f>
        <v>0.0001</v>
      </c>
      <c r="D348" s="37">
        <f>IF(A348="",0,IF(H347&lt;=0,0,MIN(C348-E348,H347)))</f>
        <v>0.0001</v>
      </c>
      <c r="E348" s="37">
        <f>IF(A348="",0,IF(H347&lt;=0,0,ROUND(H347*('Mortgage Setup'!B6/12),2)))</f>
        <v>0.0001</v>
      </c>
      <c r="F348" s="37">
        <f>IF(A348="",0,IF(H347&lt;=0,0,MIN('Mortgage Setup'!B9,MAX(H347-D348,0))))</f>
        <v>0.0001</v>
      </c>
      <c r="G348" s="37">
        <f>IF(A348="",0,C348+F348)</f>
        <v>0.0001</v>
      </c>
      <c r="H348" s="37">
        <f>IF(A348="",0,MAX(H347-D348-F348,0))</f>
        <v>0.0001</v>
      </c>
      <c r="I348" s="37">
        <f>IF(A348="",0,I347+E348)</f>
        <v>255841.5800000001</v>
      </c>
    </row>
    <row r="349" ht="26" customHeight="1" spans="1:9" x14ac:dyDescent="0.25">
      <c r="A349" s="32" t="str">
        <f>IF(H348&gt;0,345,"")</f>
        <v> </v>
      </c>
      <c r="B349" s="33" t="str">
        <f>IF(A349="","",DATE(YEAR('Mortgage Setup'!B8),MONTH('Mortgage Setup'!B8)+344,DAY('Mortgage Setup'!B8)))</f>
        <v> </v>
      </c>
      <c r="C349" s="34">
        <f>IF(A349="",0,IF(H348&lt;=0,0,MIN('Mortgage Setup'!B12,H348*(1+'Mortgage Setup'!B6/12))))</f>
        <v>0.0001</v>
      </c>
      <c r="D349" s="34">
        <f>IF(A349="",0,IF(H348&lt;=0,0,MIN(C349-E349,H348)))</f>
        <v>0.0001</v>
      </c>
      <c r="E349" s="34">
        <f>IF(A349="",0,IF(H348&lt;=0,0,ROUND(H348*('Mortgage Setup'!B6/12),2)))</f>
        <v>0.0001</v>
      </c>
      <c r="F349" s="34">
        <f>IF(A349="",0,IF(H348&lt;=0,0,MIN('Mortgage Setup'!B9,MAX(H348-D349,0))))</f>
        <v>0.0001</v>
      </c>
      <c r="G349" s="34">
        <f>IF(A349="",0,C349+F349)</f>
        <v>0.0001</v>
      </c>
      <c r="H349" s="34">
        <f>IF(A349="",0,MAX(H348-D349-F349,0))</f>
        <v>0.0001</v>
      </c>
      <c r="I349" s="34">
        <f>IF(A349="",0,I348+E349)</f>
        <v>255841.5800000001</v>
      </c>
    </row>
    <row r="350" ht="26" customHeight="1" spans="1:9" x14ac:dyDescent="0.25">
      <c r="A350" s="35" t="str">
        <f>IF(H349&gt;0,346,"")</f>
        <v> </v>
      </c>
      <c r="B350" s="36" t="str">
        <f>IF(A350="","",DATE(YEAR('Mortgage Setup'!B8),MONTH('Mortgage Setup'!B8)+345,DAY('Mortgage Setup'!B8)))</f>
        <v> </v>
      </c>
      <c r="C350" s="37">
        <f>IF(A350="",0,IF(H349&lt;=0,0,MIN('Mortgage Setup'!B12,H349*(1+'Mortgage Setup'!B6/12))))</f>
        <v>0.0001</v>
      </c>
      <c r="D350" s="37">
        <f>IF(A350="",0,IF(H349&lt;=0,0,MIN(C350-E350,H349)))</f>
        <v>0.0001</v>
      </c>
      <c r="E350" s="37">
        <f>IF(A350="",0,IF(H349&lt;=0,0,ROUND(H349*('Mortgage Setup'!B6/12),2)))</f>
        <v>0.0001</v>
      </c>
      <c r="F350" s="37">
        <f>IF(A350="",0,IF(H349&lt;=0,0,MIN('Mortgage Setup'!B9,MAX(H349-D350,0))))</f>
        <v>0.0001</v>
      </c>
      <c r="G350" s="37">
        <f>IF(A350="",0,C350+F350)</f>
        <v>0.0001</v>
      </c>
      <c r="H350" s="37">
        <f>IF(A350="",0,MAX(H349-D350-F350,0))</f>
        <v>0.0001</v>
      </c>
      <c r="I350" s="37">
        <f>IF(A350="",0,I349+E350)</f>
        <v>255841.5800000001</v>
      </c>
    </row>
    <row r="351" ht="26" customHeight="1" spans="1:9" x14ac:dyDescent="0.25">
      <c r="A351" s="32" t="str">
        <f>IF(H350&gt;0,347,"")</f>
        <v> </v>
      </c>
      <c r="B351" s="33" t="str">
        <f>IF(A351="","",DATE(YEAR('Mortgage Setup'!B8),MONTH('Mortgage Setup'!B8)+346,DAY('Mortgage Setup'!B8)))</f>
        <v> </v>
      </c>
      <c r="C351" s="34">
        <f>IF(A351="",0,IF(H350&lt;=0,0,MIN('Mortgage Setup'!B12,H350*(1+'Mortgage Setup'!B6/12))))</f>
        <v>0.0001</v>
      </c>
      <c r="D351" s="34">
        <f>IF(A351="",0,IF(H350&lt;=0,0,MIN(C351-E351,H350)))</f>
        <v>0.0001</v>
      </c>
      <c r="E351" s="34">
        <f>IF(A351="",0,IF(H350&lt;=0,0,ROUND(H350*('Mortgage Setup'!B6/12),2)))</f>
        <v>0.0001</v>
      </c>
      <c r="F351" s="34">
        <f>IF(A351="",0,IF(H350&lt;=0,0,MIN('Mortgage Setup'!B9,MAX(H350-D351,0))))</f>
        <v>0.0001</v>
      </c>
      <c r="G351" s="34">
        <f>IF(A351="",0,C351+F351)</f>
        <v>0.0001</v>
      </c>
      <c r="H351" s="34">
        <f>IF(A351="",0,MAX(H350-D351-F351,0))</f>
        <v>0.0001</v>
      </c>
      <c r="I351" s="34">
        <f>IF(A351="",0,I350+E351)</f>
        <v>255841.5800000001</v>
      </c>
    </row>
    <row r="352" ht="26" customHeight="1" spans="1:9" x14ac:dyDescent="0.25">
      <c r="A352" s="35" t="str">
        <f>IF(H351&gt;0,348,"")</f>
        <v> </v>
      </c>
      <c r="B352" s="36" t="str">
        <f>IF(A352="","",DATE(YEAR('Mortgage Setup'!B8),MONTH('Mortgage Setup'!B8)+347,DAY('Mortgage Setup'!B8)))</f>
        <v> </v>
      </c>
      <c r="C352" s="37">
        <f>IF(A352="",0,IF(H351&lt;=0,0,MIN('Mortgage Setup'!B12,H351*(1+'Mortgage Setup'!B6/12))))</f>
        <v>0.0001</v>
      </c>
      <c r="D352" s="37">
        <f>IF(A352="",0,IF(H351&lt;=0,0,MIN(C352-E352,H351)))</f>
        <v>0.0001</v>
      </c>
      <c r="E352" s="37">
        <f>IF(A352="",0,IF(H351&lt;=0,0,ROUND(H351*('Mortgage Setup'!B6/12),2)))</f>
        <v>0.0001</v>
      </c>
      <c r="F352" s="37">
        <f>IF(A352="",0,IF(H351&lt;=0,0,MIN('Mortgage Setup'!B9,MAX(H351-D352,0))))</f>
        <v>0.0001</v>
      </c>
      <c r="G352" s="37">
        <f>IF(A352="",0,C352+F352)</f>
        <v>0.0001</v>
      </c>
      <c r="H352" s="37">
        <f>IF(A352="",0,MAX(H351-D352-F352,0))</f>
        <v>0.0001</v>
      </c>
      <c r="I352" s="37">
        <f>IF(A352="",0,I351+E352)</f>
        <v>255841.5800000001</v>
      </c>
    </row>
    <row r="353" ht="26" customHeight="1" spans="1:9" x14ac:dyDescent="0.25">
      <c r="A353" s="32" t="str">
        <f>IF(H352&gt;0,349,"")</f>
        <v> </v>
      </c>
      <c r="B353" s="33" t="str">
        <f>IF(A353="","",DATE(YEAR('Mortgage Setup'!B8),MONTH('Mortgage Setup'!B8)+348,DAY('Mortgage Setup'!B8)))</f>
        <v> </v>
      </c>
      <c r="C353" s="34">
        <f>IF(A353="",0,IF(H352&lt;=0,0,MIN('Mortgage Setup'!B12,H352*(1+'Mortgage Setup'!B6/12))))</f>
        <v>0.0001</v>
      </c>
      <c r="D353" s="34">
        <f>IF(A353="",0,IF(H352&lt;=0,0,MIN(C353-E353,H352)))</f>
        <v>0.0001</v>
      </c>
      <c r="E353" s="34">
        <f>IF(A353="",0,IF(H352&lt;=0,0,ROUND(H352*('Mortgage Setup'!B6/12),2)))</f>
        <v>0.0001</v>
      </c>
      <c r="F353" s="34">
        <f>IF(A353="",0,IF(H352&lt;=0,0,MIN('Mortgage Setup'!B9,MAX(H352-D353,0))))</f>
        <v>0.0001</v>
      </c>
      <c r="G353" s="34">
        <f>IF(A353="",0,C353+F353)</f>
        <v>0.0001</v>
      </c>
      <c r="H353" s="34">
        <f>IF(A353="",0,MAX(H352-D353-F353,0))</f>
        <v>0.0001</v>
      </c>
      <c r="I353" s="34">
        <f>IF(A353="",0,I352+E353)</f>
        <v>255841.5800000001</v>
      </c>
    </row>
    <row r="354" ht="26" customHeight="1" spans="1:9" x14ac:dyDescent="0.25">
      <c r="A354" s="35" t="str">
        <f>IF(H353&gt;0,350,"")</f>
        <v> </v>
      </c>
      <c r="B354" s="36" t="str">
        <f>IF(A354="","",DATE(YEAR('Mortgage Setup'!B8),MONTH('Mortgage Setup'!B8)+349,DAY('Mortgage Setup'!B8)))</f>
        <v> </v>
      </c>
      <c r="C354" s="37">
        <f>IF(A354="",0,IF(H353&lt;=0,0,MIN('Mortgage Setup'!B12,H353*(1+'Mortgage Setup'!B6/12))))</f>
        <v>0.0001</v>
      </c>
      <c r="D354" s="37">
        <f>IF(A354="",0,IF(H353&lt;=0,0,MIN(C354-E354,H353)))</f>
        <v>0.0001</v>
      </c>
      <c r="E354" s="37">
        <f>IF(A354="",0,IF(H353&lt;=0,0,ROUND(H353*('Mortgage Setup'!B6/12),2)))</f>
        <v>0.0001</v>
      </c>
      <c r="F354" s="37">
        <f>IF(A354="",0,IF(H353&lt;=0,0,MIN('Mortgage Setup'!B9,MAX(H353-D354,0))))</f>
        <v>0.0001</v>
      </c>
      <c r="G354" s="37">
        <f>IF(A354="",0,C354+F354)</f>
        <v>0.0001</v>
      </c>
      <c r="H354" s="37">
        <f>IF(A354="",0,MAX(H353-D354-F354,0))</f>
        <v>0.0001</v>
      </c>
      <c r="I354" s="37">
        <f>IF(A354="",0,I353+E354)</f>
        <v>255841.5800000001</v>
      </c>
    </row>
    <row r="355" ht="26" customHeight="1" spans="1:9" x14ac:dyDescent="0.25">
      <c r="A355" s="32" t="str">
        <f>IF(H354&gt;0,351,"")</f>
        <v> </v>
      </c>
      <c r="B355" s="33" t="str">
        <f>IF(A355="","",DATE(YEAR('Mortgage Setup'!B8),MONTH('Mortgage Setup'!B8)+350,DAY('Mortgage Setup'!B8)))</f>
        <v> </v>
      </c>
      <c r="C355" s="34">
        <f>IF(A355="",0,IF(H354&lt;=0,0,MIN('Mortgage Setup'!B12,H354*(1+'Mortgage Setup'!B6/12))))</f>
        <v>0.0001</v>
      </c>
      <c r="D355" s="34">
        <f>IF(A355="",0,IF(H354&lt;=0,0,MIN(C355-E355,H354)))</f>
        <v>0.0001</v>
      </c>
      <c r="E355" s="34">
        <f>IF(A355="",0,IF(H354&lt;=0,0,ROUND(H354*('Mortgage Setup'!B6/12),2)))</f>
        <v>0.0001</v>
      </c>
      <c r="F355" s="34">
        <f>IF(A355="",0,IF(H354&lt;=0,0,MIN('Mortgage Setup'!B9,MAX(H354-D355,0))))</f>
        <v>0.0001</v>
      </c>
      <c r="G355" s="34">
        <f>IF(A355="",0,C355+F355)</f>
        <v>0.0001</v>
      </c>
      <c r="H355" s="34">
        <f>IF(A355="",0,MAX(H354-D355-F355,0))</f>
        <v>0.0001</v>
      </c>
      <c r="I355" s="34">
        <f>IF(A355="",0,I354+E355)</f>
        <v>255841.5800000001</v>
      </c>
    </row>
    <row r="356" ht="26" customHeight="1" spans="1:9" x14ac:dyDescent="0.25">
      <c r="A356" s="35" t="str">
        <f>IF(H355&gt;0,352,"")</f>
        <v> </v>
      </c>
      <c r="B356" s="36" t="str">
        <f>IF(A356="","",DATE(YEAR('Mortgage Setup'!B8),MONTH('Mortgage Setup'!B8)+351,DAY('Mortgage Setup'!B8)))</f>
        <v> </v>
      </c>
      <c r="C356" s="37">
        <f>IF(A356="",0,IF(H355&lt;=0,0,MIN('Mortgage Setup'!B12,H355*(1+'Mortgage Setup'!B6/12))))</f>
        <v>0.0001</v>
      </c>
      <c r="D356" s="37">
        <f>IF(A356="",0,IF(H355&lt;=0,0,MIN(C356-E356,H355)))</f>
        <v>0.0001</v>
      </c>
      <c r="E356" s="37">
        <f>IF(A356="",0,IF(H355&lt;=0,0,ROUND(H355*('Mortgage Setup'!B6/12),2)))</f>
        <v>0.0001</v>
      </c>
      <c r="F356" s="37">
        <f>IF(A356="",0,IF(H355&lt;=0,0,MIN('Mortgage Setup'!B9,MAX(H355-D356,0))))</f>
        <v>0.0001</v>
      </c>
      <c r="G356" s="37">
        <f>IF(A356="",0,C356+F356)</f>
        <v>0.0001</v>
      </c>
      <c r="H356" s="37">
        <f>IF(A356="",0,MAX(H355-D356-F356,0))</f>
        <v>0.0001</v>
      </c>
      <c r="I356" s="37">
        <f>IF(A356="",0,I355+E356)</f>
        <v>255841.5800000001</v>
      </c>
    </row>
    <row r="357" ht="26" customHeight="1" spans="1:9" x14ac:dyDescent="0.25">
      <c r="A357" s="32" t="str">
        <f>IF(H356&gt;0,353,"")</f>
        <v> </v>
      </c>
      <c r="B357" s="33" t="str">
        <f>IF(A357="","",DATE(YEAR('Mortgage Setup'!B8),MONTH('Mortgage Setup'!B8)+352,DAY('Mortgage Setup'!B8)))</f>
        <v> </v>
      </c>
      <c r="C357" s="34">
        <f>IF(A357="",0,IF(H356&lt;=0,0,MIN('Mortgage Setup'!B12,H356*(1+'Mortgage Setup'!B6/12))))</f>
        <v>0.0001</v>
      </c>
      <c r="D357" s="34">
        <f>IF(A357="",0,IF(H356&lt;=0,0,MIN(C357-E357,H356)))</f>
        <v>0.0001</v>
      </c>
      <c r="E357" s="34">
        <f>IF(A357="",0,IF(H356&lt;=0,0,ROUND(H356*('Mortgage Setup'!B6/12),2)))</f>
        <v>0.0001</v>
      </c>
      <c r="F357" s="34">
        <f>IF(A357="",0,IF(H356&lt;=0,0,MIN('Mortgage Setup'!B9,MAX(H356-D357,0))))</f>
        <v>0.0001</v>
      </c>
      <c r="G357" s="34">
        <f>IF(A357="",0,C357+F357)</f>
        <v>0.0001</v>
      </c>
      <c r="H357" s="34">
        <f>IF(A357="",0,MAX(H356-D357-F357,0))</f>
        <v>0.0001</v>
      </c>
      <c r="I357" s="34">
        <f>IF(A357="",0,I356+E357)</f>
        <v>255841.5800000001</v>
      </c>
    </row>
    <row r="358" ht="26" customHeight="1" spans="1:9" x14ac:dyDescent="0.25">
      <c r="A358" s="35" t="str">
        <f>IF(H357&gt;0,354,"")</f>
        <v> </v>
      </c>
      <c r="B358" s="36" t="str">
        <f>IF(A358="","",DATE(YEAR('Mortgage Setup'!B8),MONTH('Mortgage Setup'!B8)+353,DAY('Mortgage Setup'!B8)))</f>
        <v> </v>
      </c>
      <c r="C358" s="37">
        <f>IF(A358="",0,IF(H357&lt;=0,0,MIN('Mortgage Setup'!B12,H357*(1+'Mortgage Setup'!B6/12))))</f>
        <v>0.0001</v>
      </c>
      <c r="D358" s="37">
        <f>IF(A358="",0,IF(H357&lt;=0,0,MIN(C358-E358,H357)))</f>
        <v>0.0001</v>
      </c>
      <c r="E358" s="37">
        <f>IF(A358="",0,IF(H357&lt;=0,0,ROUND(H357*('Mortgage Setup'!B6/12),2)))</f>
        <v>0.0001</v>
      </c>
      <c r="F358" s="37">
        <f>IF(A358="",0,IF(H357&lt;=0,0,MIN('Mortgage Setup'!B9,MAX(H357-D358,0))))</f>
        <v>0.0001</v>
      </c>
      <c r="G358" s="37">
        <f>IF(A358="",0,C358+F358)</f>
        <v>0.0001</v>
      </c>
      <c r="H358" s="37">
        <f>IF(A358="",0,MAX(H357-D358-F358,0))</f>
        <v>0.0001</v>
      </c>
      <c r="I358" s="37">
        <f>IF(A358="",0,I357+E358)</f>
        <v>255841.5800000001</v>
      </c>
    </row>
    <row r="359" ht="26" customHeight="1" spans="1:9" x14ac:dyDescent="0.25">
      <c r="A359" s="32" t="str">
        <f>IF(H358&gt;0,355,"")</f>
        <v> </v>
      </c>
      <c r="B359" s="33" t="str">
        <f>IF(A359="","",DATE(YEAR('Mortgage Setup'!B8),MONTH('Mortgage Setup'!B8)+354,DAY('Mortgage Setup'!B8)))</f>
        <v> </v>
      </c>
      <c r="C359" s="34">
        <f>IF(A359="",0,IF(H358&lt;=0,0,MIN('Mortgage Setup'!B12,H358*(1+'Mortgage Setup'!B6/12))))</f>
        <v>0.0001</v>
      </c>
      <c r="D359" s="34">
        <f>IF(A359="",0,IF(H358&lt;=0,0,MIN(C359-E359,H358)))</f>
        <v>0.0001</v>
      </c>
      <c r="E359" s="34">
        <f>IF(A359="",0,IF(H358&lt;=0,0,ROUND(H358*('Mortgage Setup'!B6/12),2)))</f>
        <v>0.0001</v>
      </c>
      <c r="F359" s="34">
        <f>IF(A359="",0,IF(H358&lt;=0,0,MIN('Mortgage Setup'!B9,MAX(H358-D359,0))))</f>
        <v>0.0001</v>
      </c>
      <c r="G359" s="34">
        <f>IF(A359="",0,C359+F359)</f>
        <v>0.0001</v>
      </c>
      <c r="H359" s="34">
        <f>IF(A359="",0,MAX(H358-D359-F359,0))</f>
        <v>0.0001</v>
      </c>
      <c r="I359" s="34">
        <f>IF(A359="",0,I358+E359)</f>
        <v>255841.5800000001</v>
      </c>
    </row>
    <row r="360" ht="26" customHeight="1" spans="1:9" x14ac:dyDescent="0.25">
      <c r="A360" s="35" t="str">
        <f>IF(H359&gt;0,356,"")</f>
        <v> </v>
      </c>
      <c r="B360" s="36" t="str">
        <f>IF(A360="","",DATE(YEAR('Mortgage Setup'!B8),MONTH('Mortgage Setup'!B8)+355,DAY('Mortgage Setup'!B8)))</f>
        <v> </v>
      </c>
      <c r="C360" s="37">
        <f>IF(A360="",0,IF(H359&lt;=0,0,MIN('Mortgage Setup'!B12,H359*(1+'Mortgage Setup'!B6/12))))</f>
        <v>0.0001</v>
      </c>
      <c r="D360" s="37">
        <f>IF(A360="",0,IF(H359&lt;=0,0,MIN(C360-E360,H359)))</f>
        <v>0.0001</v>
      </c>
      <c r="E360" s="37">
        <f>IF(A360="",0,IF(H359&lt;=0,0,ROUND(H359*('Mortgage Setup'!B6/12),2)))</f>
        <v>0.0001</v>
      </c>
      <c r="F360" s="37">
        <f>IF(A360="",0,IF(H359&lt;=0,0,MIN('Mortgage Setup'!B9,MAX(H359-D360,0))))</f>
        <v>0.0001</v>
      </c>
      <c r="G360" s="37">
        <f>IF(A360="",0,C360+F360)</f>
        <v>0.0001</v>
      </c>
      <c r="H360" s="37">
        <f>IF(A360="",0,MAX(H359-D360-F360,0))</f>
        <v>0.0001</v>
      </c>
      <c r="I360" s="37">
        <f>IF(A360="",0,I359+E360)</f>
        <v>255841.5800000001</v>
      </c>
    </row>
    <row r="361" ht="26" customHeight="1" spans="1:9" x14ac:dyDescent="0.25">
      <c r="A361" s="32" t="str">
        <f>IF(H360&gt;0,357,"")</f>
        <v> </v>
      </c>
      <c r="B361" s="33" t="str">
        <f>IF(A361="","",DATE(YEAR('Mortgage Setup'!B8),MONTH('Mortgage Setup'!B8)+356,DAY('Mortgage Setup'!B8)))</f>
        <v> </v>
      </c>
      <c r="C361" s="34">
        <f>IF(A361="",0,IF(H360&lt;=0,0,MIN('Mortgage Setup'!B12,H360*(1+'Mortgage Setup'!B6/12))))</f>
        <v>0.0001</v>
      </c>
      <c r="D361" s="34">
        <f>IF(A361="",0,IF(H360&lt;=0,0,MIN(C361-E361,H360)))</f>
        <v>0.0001</v>
      </c>
      <c r="E361" s="34">
        <f>IF(A361="",0,IF(H360&lt;=0,0,ROUND(H360*('Mortgage Setup'!B6/12),2)))</f>
        <v>0.0001</v>
      </c>
      <c r="F361" s="34">
        <f>IF(A361="",0,IF(H360&lt;=0,0,MIN('Mortgage Setup'!B9,MAX(H360-D361,0))))</f>
        <v>0.0001</v>
      </c>
      <c r="G361" s="34">
        <f>IF(A361="",0,C361+F361)</f>
        <v>0.0001</v>
      </c>
      <c r="H361" s="34">
        <f>IF(A361="",0,MAX(H360-D361-F361,0))</f>
        <v>0.0001</v>
      </c>
      <c r="I361" s="34">
        <f>IF(A361="",0,I360+E361)</f>
        <v>255841.5800000001</v>
      </c>
    </row>
    <row r="362" ht="26" customHeight="1" spans="1:9" x14ac:dyDescent="0.25">
      <c r="A362" s="35" t="str">
        <f>IF(H361&gt;0,358,"")</f>
        <v> </v>
      </c>
      <c r="B362" s="36" t="str">
        <f>IF(A362="","",DATE(YEAR('Mortgage Setup'!B8),MONTH('Mortgage Setup'!B8)+357,DAY('Mortgage Setup'!B8)))</f>
        <v> </v>
      </c>
      <c r="C362" s="37">
        <f>IF(A362="",0,IF(H361&lt;=0,0,MIN('Mortgage Setup'!B12,H361*(1+'Mortgage Setup'!B6/12))))</f>
        <v>0.0001</v>
      </c>
      <c r="D362" s="37">
        <f>IF(A362="",0,IF(H361&lt;=0,0,MIN(C362-E362,H361)))</f>
        <v>0.0001</v>
      </c>
      <c r="E362" s="37">
        <f>IF(A362="",0,IF(H361&lt;=0,0,ROUND(H361*('Mortgage Setup'!B6/12),2)))</f>
        <v>0.0001</v>
      </c>
      <c r="F362" s="37">
        <f>IF(A362="",0,IF(H361&lt;=0,0,MIN('Mortgage Setup'!B9,MAX(H361-D362,0))))</f>
        <v>0.0001</v>
      </c>
      <c r="G362" s="37">
        <f>IF(A362="",0,C362+F362)</f>
        <v>0.0001</v>
      </c>
      <c r="H362" s="37">
        <f>IF(A362="",0,MAX(H361-D362-F362,0))</f>
        <v>0.0001</v>
      </c>
      <c r="I362" s="37">
        <f>IF(A362="",0,I361+E362)</f>
        <v>255841.5800000001</v>
      </c>
    </row>
    <row r="363" ht="26" customHeight="1" spans="1:9" x14ac:dyDescent="0.25">
      <c r="A363" s="32" t="str">
        <f>IF(H362&gt;0,359,"")</f>
        <v> </v>
      </c>
      <c r="B363" s="33" t="str">
        <f>IF(A363="","",DATE(YEAR('Mortgage Setup'!B8),MONTH('Mortgage Setup'!B8)+358,DAY('Mortgage Setup'!B8)))</f>
        <v> </v>
      </c>
      <c r="C363" s="34">
        <f>IF(A363="",0,IF(H362&lt;=0,0,MIN('Mortgage Setup'!B12,H362*(1+'Mortgage Setup'!B6/12))))</f>
        <v>0.0001</v>
      </c>
      <c r="D363" s="34">
        <f>IF(A363="",0,IF(H362&lt;=0,0,MIN(C363-E363,H362)))</f>
        <v>0.0001</v>
      </c>
      <c r="E363" s="34">
        <f>IF(A363="",0,IF(H362&lt;=0,0,ROUND(H362*('Mortgage Setup'!B6/12),2)))</f>
        <v>0.0001</v>
      </c>
      <c r="F363" s="34">
        <f>IF(A363="",0,IF(H362&lt;=0,0,MIN('Mortgage Setup'!B9,MAX(H362-D363,0))))</f>
        <v>0.0001</v>
      </c>
      <c r="G363" s="34">
        <f>IF(A363="",0,C363+F363)</f>
        <v>0.0001</v>
      </c>
      <c r="H363" s="34">
        <f>IF(A363="",0,MAX(H362-D363-F363,0))</f>
        <v>0.0001</v>
      </c>
      <c r="I363" s="34">
        <f>IF(A363="",0,I362+E363)</f>
        <v>255841.5800000001</v>
      </c>
    </row>
    <row r="364" ht="26" customHeight="1" spans="1:9" x14ac:dyDescent="0.25">
      <c r="A364" s="35" t="str">
        <f>IF(H363&gt;0,360,"")</f>
        <v> </v>
      </c>
      <c r="B364" s="36" t="str">
        <f>IF(A364="","",DATE(YEAR('Mortgage Setup'!B8),MONTH('Mortgage Setup'!B8)+359,DAY('Mortgage Setup'!B8)))</f>
        <v> </v>
      </c>
      <c r="C364" s="37">
        <f>IF(A364="",0,IF(H363&lt;=0,0,MIN('Mortgage Setup'!B12,H363*(1+'Mortgage Setup'!B6/12))))</f>
        <v>0.0001</v>
      </c>
      <c r="D364" s="37">
        <f>IF(A364="",0,IF(H363&lt;=0,0,MIN(C364-E364,H363)))</f>
        <v>0.0001</v>
      </c>
      <c r="E364" s="37">
        <f>IF(A364="",0,IF(H363&lt;=0,0,ROUND(H363*('Mortgage Setup'!B6/12),2)))</f>
        <v>0.0001</v>
      </c>
      <c r="F364" s="37">
        <f>IF(A364="",0,IF(H363&lt;=0,0,MIN('Mortgage Setup'!B9,MAX(H363-D364,0))))</f>
        <v>0.0001</v>
      </c>
      <c r="G364" s="37">
        <f>IF(A364="",0,C364+F364)</f>
        <v>0.0001</v>
      </c>
      <c r="H364" s="37">
        <f>IF(A364="",0,MAX(H363-D364-F364,0))</f>
        <v>0.0001</v>
      </c>
      <c r="I364" s="37">
        <f>IF(A364="",0,I363+E364)</f>
        <v>255841.5800000001</v>
      </c>
    </row>
    <row r="365" ht="14" customHeight="1" x14ac:dyDescent="0.25"/>
    <row r="366" ht="6" customHeight="1" x14ac:dyDescent="0.25"/>
    <row r="367" ht="20" customHeight="1" spans="1:9" x14ac:dyDescent="0.25">
      <c r="A367" s="14" t="s">
        <v>15</v>
      </c>
      <c r="B367" s="14"/>
      <c r="C367" s="14"/>
      <c r="D367" s="14"/>
      <c r="E367" s="14"/>
      <c r="F367" s="14"/>
      <c r="G367" s="14"/>
      <c r="H367" s="14"/>
      <c r="I367" s="14"/>
    </row>
    <row r="368" ht="20" customHeight="1" spans="1:9" x14ac:dyDescent="0.25">
      <c r="A368" s="15" t="s">
        <v>16</v>
      </c>
      <c r="B368" s="15"/>
      <c r="C368" s="15"/>
      <c r="D368" s="15"/>
      <c r="E368" s="15"/>
      <c r="F368" s="15"/>
      <c r="G368" s="15"/>
      <c r="H368" s="15"/>
      <c r="I368" s="15"/>
    </row>
  </sheetData>
  <sheetProtection sheet="1"/>
  <mergeCells count="4">
    <mergeCell ref="A1:I1"/>
    <mergeCell ref="A2:I2"/>
    <mergeCell ref="A367:I367"/>
    <mergeCell ref="A368:I368"/>
  </mergeCells>
  <hyperlinks>
    <hyperlink ref="A368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42"/>
  <sheetViews>
    <sheetView workbookViewId="0" showGridLines="0" zoomScale="125"/>
  </sheetViews>
  <sheetFormatPr defaultRowHeight="15" outlineLevelRow="0" outlineLevelCol="0" x14ac:dyDescent="55"/>
  <cols>
    <col min="1" max="1" width="4" customWidth="1"/>
    <col min="2" max="2" width="80" customWidth="1"/>
  </cols>
  <sheetData>
    <row r="1" ht="48" customHeight="1" spans="1:2" x14ac:dyDescent="0.25">
      <c r="A1" s="38" t="s">
        <v>79</v>
      </c>
      <c r="B1" s="38"/>
    </row>
    <row r="2" ht="24" customHeight="1" spans="1:2" x14ac:dyDescent="0.25">
      <c r="A2" s="39" t="s">
        <v>80</v>
      </c>
      <c r="B2" s="39"/>
    </row>
    <row r="3" ht="14" customHeight="1" x14ac:dyDescent="0.25"/>
    <row r="4" ht="28" customHeight="1" spans="1:2" x14ac:dyDescent="0.25">
      <c r="A4" s="40" t="s">
        <v>81</v>
      </c>
      <c r="B4" s="13"/>
    </row>
    <row r="6" ht="24" customHeight="1" spans="2:2" x14ac:dyDescent="0.25">
      <c r="B6" s="41" t="s">
        <v>82</v>
      </c>
    </row>
    <row r="7" ht="24" customHeight="1" spans="2:2" x14ac:dyDescent="0.25">
      <c r="B7" s="41" t="s">
        <v>83</v>
      </c>
    </row>
    <row r="8" ht="24" customHeight="1" spans="2:2" x14ac:dyDescent="0.25">
      <c r="B8" s="41" t="s">
        <v>84</v>
      </c>
    </row>
    <row r="9" ht="24" customHeight="1" spans="2:2" x14ac:dyDescent="0.25">
      <c r="B9" s="41" t="s">
        <v>85</v>
      </c>
    </row>
    <row r="10" ht="24" customHeight="1" spans="2:2" x14ac:dyDescent="0.25">
      <c r="B10" s="41" t="s">
        <v>86</v>
      </c>
    </row>
    <row r="11" ht="12" customHeight="1" x14ac:dyDescent="0.25"/>
    <row r="12" ht="28" customHeight="1" spans="1:2" x14ac:dyDescent="0.25">
      <c r="A12" s="40" t="s">
        <v>87</v>
      </c>
      <c r="B12" s="13"/>
    </row>
    <row r="14" ht="24" customHeight="1" spans="2:2" x14ac:dyDescent="0.25">
      <c r="B14" s="41" t="s">
        <v>88</v>
      </c>
    </row>
    <row r="15" ht="24" customHeight="1" spans="2:2" x14ac:dyDescent="0.25">
      <c r="B15" s="41" t="s">
        <v>89</v>
      </c>
    </row>
    <row r="16" ht="24" customHeight="1" spans="2:2" x14ac:dyDescent="0.25">
      <c r="B16" s="41" t="s">
        <v>90</v>
      </c>
    </row>
    <row r="17" ht="12" customHeight="1" x14ac:dyDescent="0.25"/>
    <row r="18" ht="28" customHeight="1" spans="1:2" x14ac:dyDescent="0.25">
      <c r="A18" s="40" t="s">
        <v>91</v>
      </c>
      <c r="B18" s="13"/>
    </row>
    <row r="20" ht="24" customHeight="1" spans="2:2" x14ac:dyDescent="0.25">
      <c r="B20" s="41" t="s">
        <v>92</v>
      </c>
    </row>
    <row r="21" ht="24" customHeight="1" spans="2:2" x14ac:dyDescent="0.25">
      <c r="B21" s="41" t="s">
        <v>93</v>
      </c>
    </row>
    <row r="22" ht="24" customHeight="1" spans="2:2" x14ac:dyDescent="0.25">
      <c r="B22" s="41" t="s">
        <v>94</v>
      </c>
    </row>
    <row r="23" ht="24" customHeight="1" spans="2:2" x14ac:dyDescent="0.25">
      <c r="B23" s="41" t="s">
        <v>95</v>
      </c>
    </row>
    <row r="24" ht="12" customHeight="1" x14ac:dyDescent="0.25"/>
    <row r="25" ht="28" customHeight="1" spans="1:2" x14ac:dyDescent="0.25">
      <c r="A25" s="40" t="s">
        <v>96</v>
      </c>
      <c r="B25" s="13"/>
    </row>
    <row r="27" ht="24" customHeight="1" spans="2:2" x14ac:dyDescent="0.25">
      <c r="B27" s="41" t="s">
        <v>97</v>
      </c>
    </row>
    <row r="28" ht="24" customHeight="1" spans="2:2" x14ac:dyDescent="0.25">
      <c r="B28" s="41" t="s">
        <v>98</v>
      </c>
    </row>
    <row r="29" ht="24" customHeight="1" spans="2:2" x14ac:dyDescent="0.25">
      <c r="B29" s="41" t="s">
        <v>99</v>
      </c>
    </row>
    <row r="30" ht="24" customHeight="1" spans="2:2" x14ac:dyDescent="0.25">
      <c r="B30" s="41" t="s">
        <v>100</v>
      </c>
    </row>
    <row r="31" ht="24" customHeight="1" spans="2:2" x14ac:dyDescent="0.25">
      <c r="B31" s="41" t="s">
        <v>101</v>
      </c>
    </row>
    <row r="32" ht="24" customHeight="1" spans="2:2" x14ac:dyDescent="0.25">
      <c r="B32" s="41" t="s">
        <v>102</v>
      </c>
    </row>
    <row r="33" ht="12" customHeight="1" x14ac:dyDescent="0.25"/>
    <row r="34" ht="28" customHeight="1" spans="1:2" x14ac:dyDescent="0.25">
      <c r="A34" s="40" t="s">
        <v>103</v>
      </c>
      <c r="B34" s="13"/>
    </row>
    <row r="36" ht="24" customHeight="1" spans="2:2" x14ac:dyDescent="0.25">
      <c r="B36" s="41" t="s">
        <v>104</v>
      </c>
    </row>
    <row r="37" ht="24" customHeight="1" spans="2:2" x14ac:dyDescent="0.25">
      <c r="B37" s="41" t="s">
        <v>105</v>
      </c>
    </row>
    <row r="38" ht="24" customHeight="1" spans="2:2" x14ac:dyDescent="0.25">
      <c r="B38" s="41" t="s">
        <v>106</v>
      </c>
    </row>
    <row r="39" ht="12" customHeight="1" x14ac:dyDescent="0.25"/>
    <row r="40" ht="6" customHeight="1" x14ac:dyDescent="0.25"/>
    <row r="41" ht="20" customHeight="1" spans="1:2" x14ac:dyDescent="0.25">
      <c r="A41" s="42" t="s">
        <v>15</v>
      </c>
      <c r="B41" s="42"/>
    </row>
    <row r="42" ht="20" customHeight="1" spans="1:2" x14ac:dyDescent="0.25">
      <c r="A42" s="43" t="s">
        <v>16</v>
      </c>
      <c r="B42" s="43"/>
    </row>
  </sheetData>
  <mergeCells count="4">
    <mergeCell ref="A1:B1"/>
    <mergeCell ref="A2:B2"/>
    <mergeCell ref="A41:B41"/>
    <mergeCell ref="A42:B42"/>
  </mergeCells>
  <hyperlinks>
    <hyperlink ref="A4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Mortgage Setup</vt:lpstr>
      <vt:lpstr>Amortization Schedule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Mortgage Payoff Calculator</dc:title>
  <dc:subject>Financial Template</dc:subject>
  <dc:description>Free Mortgage Payoff Calculator template by FinancialAha.com</dc:description>
  <cp:keywords>finance, template, spreadsheet, FinancialAha</cp:keywords>
  <cp:category>Finance</cp:category>
  <cp:lastModifiedBy>Unknown</cp:lastModifiedBy>
  <cp:lastPrinted>2026-04-01T18:01:15Z</cp:lastPrinted>
  <dcterms:created xsi:type="dcterms:W3CDTF">2026-04-01T18:01:15Z</dcterms:created>
  <dcterms:modified xsi:type="dcterms:W3CDTF">2026-04-01T18:01:15Z</dcterms:modified>
</cp:coreProperties>
</file>