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Mortgage Setup" state="visible" r:id="rId5"/>
    <sheet sheetId="3" name="Amortization Schedule" state="visible" r:id="rId6"/>
    <sheet sheetId="4" name="How to Use" state="visible" r:id="rId7"/>
  </sheets>
  <calcPr calcId="171027"/>
</workbook>
</file>

<file path=xl/sharedStrings.xml><?xml version="1.0" encoding="utf-8"?>
<sst xmlns="http://schemas.openxmlformats.org/spreadsheetml/2006/main" count="152" uniqueCount="141">
  <si>
    <t>Home Mortgage Calculator</t>
  </si>
  <si>
    <t>Full PITI breakdown with extra payment analysis</t>
  </si>
  <si>
    <t>by FinancialAha.com</t>
  </si>
  <si>
    <t>HOME PRICE</t>
  </si>
  <si>
    <t>MONTHLY PITI PAYMENT</t>
  </si>
  <si>
    <t>TOTAL INTEREST</t>
  </si>
  <si>
    <t>purchase price</t>
  </si>
  <si>
    <t>principal + interest + tax + insurance</t>
  </si>
  <si>
    <t>total interest over loan life</t>
  </si>
  <si>
    <t>PAYOFF DATE</t>
  </si>
  <si>
    <t>INTEREST SAVED</t>
  </si>
  <si>
    <t>TOTAL COST</t>
  </si>
  <si>
    <t>with extra payments</t>
  </si>
  <si>
    <t>from extra payments</t>
  </si>
  <si>
    <t>total homeownership cost</t>
  </si>
  <si>
    <t>MONTHLY PAYMENT BREAKDOWN</t>
  </si>
  <si>
    <t>LOAN BALANCE: WITH VS. WITHOUT EXTRA PAYMENTS</t>
  </si>
  <si>
    <t>Created with FinancialAha.com - Free financial tools and templates</t>
  </si>
  <si>
    <t>Get a premium spreadsheet from FinancialAha.com</t>
  </si>
  <si>
    <t/>
  </si>
  <si>
    <t>Principal</t>
  </si>
  <si>
    <t>Interest</t>
  </si>
  <si>
    <t>Property Tax</t>
  </si>
  <si>
    <t>Insurance</t>
  </si>
  <si>
    <t>PMI</t>
  </si>
  <si>
    <t>Payment</t>
  </si>
  <si>
    <t>Yr 1</t>
  </si>
  <si>
    <t>Yr 2</t>
  </si>
  <si>
    <t>Yr 3</t>
  </si>
  <si>
    <t>Yr 4</t>
  </si>
  <si>
    <t>Yr 6</t>
  </si>
  <si>
    <t>Yr 7</t>
  </si>
  <si>
    <t>Yr 8</t>
  </si>
  <si>
    <t>Yr 9</t>
  </si>
  <si>
    <t>Yr 11</t>
  </si>
  <si>
    <t>Yr 12</t>
  </si>
  <si>
    <t>Yr 13</t>
  </si>
  <si>
    <t>Yr 14</t>
  </si>
  <si>
    <t>Yr 16</t>
  </si>
  <si>
    <t>Yr 17</t>
  </si>
  <si>
    <t>Yr 18</t>
  </si>
  <si>
    <t>Yr 19</t>
  </si>
  <si>
    <t>Yr 21</t>
  </si>
  <si>
    <t>Yr 22</t>
  </si>
  <si>
    <t>Yr 23</t>
  </si>
  <si>
    <t>Yr 24</t>
  </si>
  <si>
    <t>Yr 26</t>
  </si>
  <si>
    <t>Yr 27</t>
  </si>
  <si>
    <t>Yr 28</t>
  </si>
  <si>
    <t>Yr 29</t>
  </si>
  <si>
    <t>With Extra</t>
  </si>
  <si>
    <t>Without Extra</t>
  </si>
  <si>
    <t>Mortgage Setup</t>
  </si>
  <si>
    <t>Enter your mortgage details in the yellow cells below.</t>
  </si>
  <si>
    <t>HOME &amp; LOAN DETAILS</t>
  </si>
  <si>
    <t>Home Price</t>
  </si>
  <si>
    <t>Purchase price of the home</t>
  </si>
  <si>
    <t>Down Payment (%)</t>
  </si>
  <si>
    <t>Percentage of home price</t>
  </si>
  <si>
    <t>Down Payment ($)</t>
  </si>
  <si>
    <t>Loan Amount</t>
  </si>
  <si>
    <t>Annual Interest Rate</t>
  </si>
  <si>
    <t>APR as a percentage (e.g. 6.75%)</t>
  </si>
  <si>
    <t>Loan Term (years)</t>
  </si>
  <si>
    <t>15 or 30 years typical</t>
  </si>
  <si>
    <t>Start Date</t>
  </si>
  <si>
    <t>First payment date</t>
  </si>
  <si>
    <t>Extra Monthly Payment</t>
  </si>
  <si>
    <t>Additional principal each month</t>
  </si>
  <si>
    <t>PROPERTY COSTS</t>
  </si>
  <si>
    <t>Property Tax Rate (annual)</t>
  </si>
  <si>
    <t>Annual rate applied to home price</t>
  </si>
  <si>
    <t>Home Insurance (annual)</t>
  </si>
  <si>
    <t>Annual homeowners insurance premium</t>
  </si>
  <si>
    <t>PMI Rate (annual)</t>
  </si>
  <si>
    <t>Applies if down payment &lt; 20%</t>
  </si>
  <si>
    <t>HOA (monthly)</t>
  </si>
  <si>
    <t>Monthly HOA dues</t>
  </si>
  <si>
    <t>Monthly P&amp;I</t>
  </si>
  <si>
    <t>Monthly Property Tax</t>
  </si>
  <si>
    <t>Monthly Home Insurance</t>
  </si>
  <si>
    <t>Monthly PMI</t>
  </si>
  <si>
    <t>Monthly HOA</t>
  </si>
  <si>
    <t>Total PITI Payment</t>
  </si>
  <si>
    <t>LOAN SUMMARY</t>
  </si>
  <si>
    <t>Total Interest Paid</t>
  </si>
  <si>
    <t>Interest Saved (Extra)</t>
  </si>
  <si>
    <t>Payoff Date</t>
  </si>
  <si>
    <t>Total Cost of Homeownership</t>
  </si>
  <si>
    <t>Amortization Schedule</t>
  </si>
  <si>
    <t>Month-by-month mortgage payment breakdown. All values are formula-driven from the Mortgage Setup sheet.</t>
  </si>
  <si>
    <t>#</t>
  </si>
  <si>
    <t>Date</t>
  </si>
  <si>
    <t>Extra Payment</t>
  </si>
  <si>
    <t>Balance</t>
  </si>
  <si>
    <t>Cumulative Interest</t>
  </si>
  <si>
    <t>How to Use This Template</t>
  </si>
  <si>
    <t>Home Mortgage Calculator by FinancialAha.com</t>
  </si>
  <si>
    <t>GETTING STARTED</t>
  </si>
  <si>
    <t>1. Go to the "Mortgage Setup" sheet and enter your home purchase details in the yellow cells.</t>
  </si>
  <si>
    <t>2. Enter the Home Price and Down Payment percentage. The dollar amount and loan amount calculate automatically.</t>
  </si>
  <si>
    <t>3. Set your Annual Interest Rate and Loan Term (15 or 30 years are most common).</t>
  </si>
  <si>
    <t>4. Enter your Start Date (first payment month) and any Extra Monthly Payment you plan to make.</t>
  </si>
  <si>
    <t>5. Fill in property costs: Property Tax Rate, Home Insurance, PMI Rate, and HOA dues.</t>
  </si>
  <si>
    <t>UNDERSTANDING PITI</t>
  </si>
  <si>
    <t>PITI stands for Principal, Interest, Taxes, and Insurance - the four components of a mortgage payment.</t>
  </si>
  <si>
    <t>Principal - the portion that reduces your loan balance each month.</t>
  </si>
  <si>
    <t>Interest - the cost of borrowing, paid to your lender.</t>
  </si>
  <si>
    <t>Taxes - property taxes, typically collected monthly by your lender and paid annually.</t>
  </si>
  <si>
    <t>Insurance - homeowners insurance, also typically escrowed by the lender.</t>
  </si>
  <si>
    <t>PMI (Private Mortgage Insurance) applies when your down payment is less than 20%.</t>
  </si>
  <si>
    <t>UNDERSTANDING THE DASHBOARD</t>
  </si>
  <si>
    <t>The Dashboard provides a visual overview of your mortgage.</t>
  </si>
  <si>
    <t>Top KPIs show Home Price, Monthly PITI Payment, and Total Interest over the loan life.</t>
  </si>
  <si>
    <t>Bottom KPIs show Payoff Date, Interest Saved from extra payments, and Total Cost of Homeownership.</t>
  </si>
  <si>
    <t>The pie chart breaks down your monthly payment into Principal, Interest, Tax, Insurance, and PMI.</t>
  </si>
  <si>
    <t>The line chart compares your balance with and without extra payments over time.</t>
  </si>
  <si>
    <t>EXTRA PAYMENTS</t>
  </si>
  <si>
    <t>Adding even a small extra monthly payment can significantly reduce total interest and payoff time.</t>
  </si>
  <si>
    <t>The $100 default extra payment is a starting point - try different amounts to see the impact.</t>
  </si>
  <si>
    <t>The "Interest Saved" KPI shows exactly how much the extra payments save over the loan life.</t>
  </si>
  <si>
    <t>Extra payments are applied directly to principal, reducing the balance faster.</t>
  </si>
  <si>
    <t>The amortization schedule shows rows going to zero before month 360 when extra payments are applied.</t>
  </si>
  <si>
    <t>READING THE AMORTIZATION SCHEDULE</t>
  </si>
  <si>
    <t>Each row represents one monthly payment.</t>
  </si>
  <si>
    <t>Payment = the scheduled P&amp;I amount (stays constant for fixed-rate loans).</t>
  </si>
  <si>
    <t>Principal = the portion that reduces your loan balance.</t>
  </si>
  <si>
    <t>Interest = the portion that goes to the lender.</t>
  </si>
  <si>
    <t>Extra Payment = any additional amount applied directly to principal.</t>
  </si>
  <si>
    <t>Balance = what you still owe after that month's payment.</t>
  </si>
  <si>
    <t>Cumulative Interest = running total of all interest paid to date.</t>
  </si>
  <si>
    <t>TIPS</t>
  </si>
  <si>
    <t>Try different down payment percentages to see how they affect PMI and monthly payment.</t>
  </si>
  <si>
    <t>Compare 15-year vs 30-year terms by changing the Loan Term.</t>
  </si>
  <si>
    <t>Use the Extra Monthly Payment to model how additional payments accelerate payoff.</t>
  </si>
  <si>
    <t>Property tax rates vary by location - check your county assessor for accurate rates.</t>
  </si>
  <si>
    <t>This template works for any fixed-rate mortgage - primary residence, investment property, or refinance.</t>
  </si>
  <si>
    <t>COMPATIBILITY</t>
  </si>
  <si>
    <t>This template works in Microsoft Excel, Google Sheets, and LibreOffice Calc.</t>
  </si>
  <si>
    <t>No macros or VBA required - everything is formula-driven.</t>
  </si>
  <si>
    <t>Yellow cells are editable inputs. Green cells contain formulas - avoid overwriting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</si>
</sst>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$#,##0"/>
    <numFmt numFmtId="165" formatCode="$#,##0.00"/>
    <numFmt numFmtId="166" formatCode="MMM YYYY"/>
  </numFmts>
  <fonts count="21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B91C1C"/>
      <sz val="20"/>
      <name val="Aptos"/>
    </font>
    <font>
      <color rgb="A3A9B8"/>
      <sz val="8"/>
      <name val="Aptos"/>
    </font>
    <font>
      <b/>
      <color rgb="9A7B4F"/>
      <sz val="20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4213D"/>
      <sz val="16"/>
      <name val="Aptos"/>
    </font>
    <font>
      <b/>
      <color rgb="FFFFFF"/>
      <sz val="10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14213D"/>
      </patternFill>
    </fill>
    <fill>
      <patternFill patternType="solid">
        <fgColor rgb="F4F5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5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166" fontId="5" fillId="0" borderId="2" xfId="0" applyNumberFormat="1" applyFont="1" applyBorder="1" applyAlignment="1" applyProtection="1">
      <alignment horizontal="center" vertical="center"/>
    </xf>
    <xf numFmtId="164" fontId="8" fillId="0" borderId="2" xfId="0" applyNumberFormat="1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2" fillId="0" borderId="0" xfId="0" applyFont="1" applyProtection="1"/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wrapText="1" indent="1"/>
    </xf>
    <xf numFmtId="0" fontId="15" fillId="0" borderId="0" xfId="0" applyFont="1" applyAlignment="1" applyProtection="1">
      <alignment horizontal="left" vertical="center" indent="1"/>
    </xf>
    <xf numFmtId="164" fontId="16" fillId="2" borderId="5" xfId="0" applyNumberFormat="1" applyFont="1" applyFill="1" applyBorder="1" applyAlignment="1" applyProtection="1">
      <alignment horizontal="right" vertical="center"/>
      <protection locked="0"/>
    </xf>
    <xf numFmtId="10" fontId="16" fillId="2" borderId="5" xfId="0" applyNumberFormat="1" applyFont="1" applyFill="1" applyBorder="1" applyAlignment="1" applyProtection="1">
      <alignment horizontal="right" vertical="center"/>
      <protection locked="0"/>
    </xf>
    <xf numFmtId="164" fontId="17" fillId="3" borderId="6" xfId="0" applyNumberFormat="1" applyFont="1" applyFill="1" applyBorder="1" applyAlignment="1" applyProtection="1">
      <alignment horizontal="right" vertical="center"/>
    </xf>
    <xf numFmtId="3" fontId="16" fillId="2" borderId="5" xfId="0" applyNumberFormat="1" applyFont="1" applyFill="1" applyBorder="1" applyAlignment="1" applyProtection="1">
      <alignment horizontal="right" vertical="center"/>
      <protection locked="0"/>
    </xf>
    <xf numFmtId="166" fontId="16" fillId="2" borderId="5" xfId="0" applyNumberFormat="1" applyFont="1" applyFill="1" applyBorder="1" applyAlignment="1" applyProtection="1">
      <alignment horizontal="right" vertical="center"/>
      <protection locked="0"/>
    </xf>
    <xf numFmtId="165" fontId="16" fillId="2" borderId="5" xfId="0" applyNumberFormat="1" applyFont="1" applyFill="1" applyBorder="1" applyAlignment="1" applyProtection="1">
      <alignment horizontal="right" vertical="center"/>
      <protection locked="0"/>
    </xf>
    <xf numFmtId="165" fontId="17" fillId="3" borderId="6" xfId="0" applyNumberFormat="1" applyFont="1" applyFill="1" applyBorder="1" applyAlignment="1" applyProtection="1">
      <alignment horizontal="right" vertical="center"/>
    </xf>
    <xf numFmtId="165" fontId="18" fillId="3" borderId="6" xfId="0" applyNumberFormat="1" applyFont="1" applyFill="1" applyBorder="1" applyAlignment="1" applyProtection="1">
      <alignment horizontal="center" vertical="center"/>
    </xf>
    <xf numFmtId="166" fontId="17" fillId="3" borderId="6" xfId="0" applyNumberFormat="1" applyFont="1" applyFill="1" applyBorder="1" applyAlignment="1" applyProtection="1">
      <alignment horizontal="right" vertical="center"/>
    </xf>
    <xf numFmtId="0" fontId="19" fillId="4" borderId="0" xfId="0" applyFont="1" applyFill="1" applyAlignment="1" applyProtection="1">
      <alignment horizontal="left" vertical="center" wrapText="1" indent="1"/>
    </xf>
    <xf numFmtId="0" fontId="19" fillId="4" borderId="0" xfId="0" applyFont="1" applyFill="1" applyAlignment="1" applyProtection="1">
      <alignment horizontal="center" vertical="center" wrapText="1"/>
    </xf>
    <xf numFmtId="0" fontId="16" fillId="0" borderId="7" xfId="0" applyFont="1" applyBorder="1" applyAlignment="1" applyProtection="1">
      <alignment vertical="center" indent="1"/>
    </xf>
    <xf numFmtId="166" fontId="16" fillId="0" borderId="7" xfId="0" applyNumberFormat="1" applyFont="1" applyBorder="1" applyAlignment="1" applyProtection="1">
      <alignment horizontal="right" vertical="center"/>
    </xf>
    <xf numFmtId="165" fontId="16" fillId="0" borderId="7" xfId="0" applyNumberFormat="1" applyFont="1" applyBorder="1" applyAlignment="1" applyProtection="1">
      <alignment horizontal="right" vertical="center"/>
    </xf>
    <xf numFmtId="0" fontId="16" fillId="5" borderId="7" xfId="0" applyFont="1" applyFill="1" applyBorder="1" applyAlignment="1" applyProtection="1">
      <alignment vertical="center" indent="1"/>
    </xf>
    <xf numFmtId="166" fontId="16" fillId="5" borderId="7" xfId="0" applyNumberFormat="1" applyFont="1" applyFill="1" applyBorder="1" applyAlignment="1" applyProtection="1">
      <alignment horizontal="right" vertical="center"/>
    </xf>
    <xf numFmtId="165" fontId="16" fillId="5" borderId="7" xfId="0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Monthly Payment Breakdown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Dashboard!$B$50</c:f>
              <c:strCache>
                <c:ptCount val="1"/>
                <c:pt idx="0">
                  <c:v>Payment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F1239"/>
              </a:solidFill>
              <a:ln>
                <a:noFill/>
              </a:ln>
            </c:spPr>
          </c:dPt>
          <c:dPt>
            <c:idx val="2"/>
            <c:spPr>
              <a:solidFill>
                <a:srgbClr val="C27D38"/>
              </a:solidFill>
              <a:ln>
                <a:noFill/>
              </a:ln>
            </c:spPr>
          </c:dPt>
          <c:dPt>
            <c:idx val="3"/>
            <c:spPr>
              <a:solidFill>
                <a:srgbClr val="9A7B4F"/>
              </a:solidFill>
              <a:ln>
                <a:noFill/>
              </a:ln>
            </c:spPr>
          </c:dPt>
          <c:dPt>
            <c:idx val="4"/>
            <c:spPr>
              <a:solidFill>
                <a:srgbClr val="5B6ABF"/>
              </a:solidFill>
              <a:ln>
                <a:noFill/>
              </a:ln>
            </c:spPr>
          </c:dPt>
          <c:dLbls>
            <c:numFmt formatCode="$#,##0" sourceLinked="0"/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Dashboard!$C$49:$G$49</c:f>
              <c:strCache>
                <c:ptCount val="5"/>
                <c:pt idx="0">
                  <c:v>Principal</c:v>
                </c:pt>
                <c:pt idx="1">
                  <c:v>Interest</c:v>
                </c:pt>
                <c:pt idx="2">
                  <c:v>Property Tax</c:v>
                </c:pt>
                <c:pt idx="3">
                  <c:v>Insurance</c:v>
                </c:pt>
                <c:pt idx="4">
                  <c:v>PMI</c:v>
                </c:pt>
              </c:strCache>
            </c:strRef>
          </c:cat>
          <c:val>
            <c:numRef>
              <c:f>Dashboard!$C$50:$G$50</c:f>
              <c:numCache>
                <c:formatCode>$#,##0</c:formatCode>
                <c:ptCount val="5"/>
                <c:pt idx="0">
                  <c:v>241.07</c:v>
                </c:pt>
                <c:pt idx="1">
                  <c:v>1575</c:v>
                </c:pt>
                <c:pt idx="2">
                  <c:v>350</c:v>
                </c:pt>
                <c:pt idx="3">
                  <c:v>150</c:v>
                </c:pt>
                <c:pt idx="4">
                  <c:v>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Loan Balance Over Time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Dashboard!$B$52</c:f>
              <c:strCache>
                <c:ptCount val="1"/>
                <c:pt idx="0">
                  <c:v>With Extra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Dashboard!$C$51:$Z$51</c:f>
              <c:strCache>
                <c:ptCount val="24"/>
                <c:pt idx="0">
                  <c:v>Yr 1</c:v>
                </c:pt>
                <c:pt idx="1">
                  <c:v>Yr 2</c:v>
                </c:pt>
                <c:pt idx="2">
                  <c:v>Yr 3</c:v>
                </c:pt>
                <c:pt idx="3">
                  <c:v>Yr 4</c:v>
                </c:pt>
                <c:pt idx="4">
                  <c:v>Yr 6</c:v>
                </c:pt>
                <c:pt idx="5">
                  <c:v>Yr 7</c:v>
                </c:pt>
                <c:pt idx="6">
                  <c:v>Yr 8</c:v>
                </c:pt>
                <c:pt idx="7">
                  <c:v>Yr 9</c:v>
                </c:pt>
                <c:pt idx="8">
                  <c:v>Yr 11</c:v>
                </c:pt>
                <c:pt idx="9">
                  <c:v>Yr 12</c:v>
                </c:pt>
                <c:pt idx="10">
                  <c:v>Yr 13</c:v>
                </c:pt>
                <c:pt idx="11">
                  <c:v>Yr 14</c:v>
                </c:pt>
                <c:pt idx="12">
                  <c:v>Yr 16</c:v>
                </c:pt>
                <c:pt idx="13">
                  <c:v>Yr 17</c:v>
                </c:pt>
                <c:pt idx="14">
                  <c:v>Yr 18</c:v>
                </c:pt>
                <c:pt idx="15">
                  <c:v>Yr 19</c:v>
                </c:pt>
                <c:pt idx="16">
                  <c:v>Yr 21</c:v>
                </c:pt>
                <c:pt idx="17">
                  <c:v>Yr 22</c:v>
                </c:pt>
                <c:pt idx="18">
                  <c:v>Yr 23</c:v>
                </c:pt>
                <c:pt idx="19">
                  <c:v>Yr 24</c:v>
                </c:pt>
                <c:pt idx="20">
                  <c:v>Yr 26</c:v>
                </c:pt>
                <c:pt idx="21">
                  <c:v>Yr 27</c:v>
                </c:pt>
                <c:pt idx="22">
                  <c:v>Yr 28</c:v>
                </c:pt>
                <c:pt idx="23">
                  <c:v>Yr 29</c:v>
                </c:pt>
              </c:strCache>
            </c:strRef>
          </c:cat>
          <c:val>
            <c:numRef>
              <c:f>Dashboard!$C$52:$Z$52</c:f>
              <c:numCache>
                <c:formatCode>$#,##0</c:formatCode>
                <c:ptCount val="24"/>
                <c:pt idx="0">
                  <c:v>279658.93</c:v>
                </c:pt>
                <c:pt idx="1">
                  <c:v>274306.5</c:v>
                </c:pt>
                <c:pt idx="2">
                  <c:v>268484.23</c:v>
                </c:pt>
                <c:pt idx="3">
                  <c:v>262150.89</c:v>
                </c:pt>
                <c:pt idx="4">
                  <c:v>255261.62</c:v>
                </c:pt>
                <c:pt idx="5">
                  <c:v>247767.62</c:v>
                </c:pt>
                <c:pt idx="6">
                  <c:v>239615.77</c:v>
                </c:pt>
                <c:pt idx="7">
                  <c:v>230748.38</c:v>
                </c:pt>
                <c:pt idx="8">
                  <c:v>221102.59</c:v>
                </c:pt>
                <c:pt idx="9">
                  <c:v>210610.12</c:v>
                </c:pt>
                <c:pt idx="10">
                  <c:v>199196.61</c:v>
                </c:pt>
                <c:pt idx="11">
                  <c:v>186781.26</c:v>
                </c:pt>
                <c:pt idx="12">
                  <c:v>173276.06</c:v>
                </c:pt>
                <c:pt idx="13">
                  <c:v>158585.38</c:v>
                </c:pt>
                <c:pt idx="14">
                  <c:v>142605.14</c:v>
                </c:pt>
                <c:pt idx="15">
                  <c:v>125222.19</c:v>
                </c:pt>
                <c:pt idx="16">
                  <c:v>106313.36</c:v>
                </c:pt>
                <c:pt idx="17">
                  <c:v>85744.73</c:v>
                </c:pt>
                <c:pt idx="18">
                  <c:v>63370.57</c:v>
                </c:pt>
                <c:pt idx="19">
                  <c:v>39032.43</c:v>
                </c:pt>
                <c:pt idx="20">
                  <c:v>12557.89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"/>
          <c:order val="1"/>
          <c:tx>
            <c:strRef>
              <c:f>Dashboard!$B$53</c:f>
              <c:strCache>
                <c:ptCount val="1"/>
                <c:pt idx="0">
                  <c:v>Without Extra</c:v>
                </c:pt>
              </c:strCache>
            </c:strRef>
          </c:tx>
          <c:spPr>
            <a:solidFill>
              <a:srgbClr val="B91C1C"/>
            </a:solidFill>
            <a:ln>
              <a:noFill/>
            </a:ln>
          </c:spPr>
          <c:cat>
            <c:strRef>
              <c:f>Dashboard!$C$51:$Z$51</c:f>
              <c:strCache>
                <c:ptCount val="24"/>
                <c:pt idx="0">
                  <c:v>Yr 1</c:v>
                </c:pt>
                <c:pt idx="1">
                  <c:v>Yr 2</c:v>
                </c:pt>
                <c:pt idx="2">
                  <c:v>Yr 3</c:v>
                </c:pt>
                <c:pt idx="3">
                  <c:v>Yr 4</c:v>
                </c:pt>
                <c:pt idx="4">
                  <c:v>Yr 6</c:v>
                </c:pt>
                <c:pt idx="5">
                  <c:v>Yr 7</c:v>
                </c:pt>
                <c:pt idx="6">
                  <c:v>Yr 8</c:v>
                </c:pt>
                <c:pt idx="7">
                  <c:v>Yr 9</c:v>
                </c:pt>
                <c:pt idx="8">
                  <c:v>Yr 11</c:v>
                </c:pt>
                <c:pt idx="9">
                  <c:v>Yr 12</c:v>
                </c:pt>
                <c:pt idx="10">
                  <c:v>Yr 13</c:v>
                </c:pt>
                <c:pt idx="11">
                  <c:v>Yr 14</c:v>
                </c:pt>
                <c:pt idx="12">
                  <c:v>Yr 16</c:v>
                </c:pt>
                <c:pt idx="13">
                  <c:v>Yr 17</c:v>
                </c:pt>
                <c:pt idx="14">
                  <c:v>Yr 18</c:v>
                </c:pt>
                <c:pt idx="15">
                  <c:v>Yr 19</c:v>
                </c:pt>
                <c:pt idx="16">
                  <c:v>Yr 21</c:v>
                </c:pt>
                <c:pt idx="17">
                  <c:v>Yr 22</c:v>
                </c:pt>
                <c:pt idx="18">
                  <c:v>Yr 23</c:v>
                </c:pt>
                <c:pt idx="19">
                  <c:v>Yr 24</c:v>
                </c:pt>
                <c:pt idx="20">
                  <c:v>Yr 26</c:v>
                </c:pt>
                <c:pt idx="21">
                  <c:v>Yr 27</c:v>
                </c:pt>
                <c:pt idx="22">
                  <c:v>Yr 28</c:v>
                </c:pt>
                <c:pt idx="23">
                  <c:v>Yr 29</c:v>
                </c:pt>
              </c:strCache>
            </c:strRef>
          </c:cat>
          <c:val>
            <c:numRef>
              <c:f>Dashboard!$C$53:$Z$53</c:f>
              <c:numCache>
                <c:formatCode>$#,##0</c:formatCode>
                <c:ptCount val="24"/>
                <c:pt idx="0">
                  <c:v>279758.93</c:v>
                </c:pt>
                <c:pt idx="1">
                  <c:v>275975.81</c:v>
                </c:pt>
                <c:pt idx="2">
                  <c:v>271860.6</c:v>
                </c:pt>
                <c:pt idx="3">
                  <c:v>267384.18</c:v>
                </c:pt>
                <c:pt idx="4">
                  <c:v>262514.81</c:v>
                </c:pt>
                <c:pt idx="5">
                  <c:v>257218.01</c:v>
                </c:pt>
                <c:pt idx="6">
                  <c:v>251456.25</c:v>
                </c:pt>
                <c:pt idx="7">
                  <c:v>245188.74</c:v>
                </c:pt>
                <c:pt idx="8">
                  <c:v>238371.07</c:v>
                </c:pt>
                <c:pt idx="9">
                  <c:v>230954.94</c:v>
                </c:pt>
                <c:pt idx="10">
                  <c:v>222887.83</c:v>
                </c:pt>
                <c:pt idx="11">
                  <c:v>214112.58</c:v>
                </c:pt>
                <c:pt idx="12">
                  <c:v>204567.02</c:v>
                </c:pt>
                <c:pt idx="13">
                  <c:v>194183.57</c:v>
                </c:pt>
                <c:pt idx="14">
                  <c:v>182888.68</c:v>
                </c:pt>
                <c:pt idx="15">
                  <c:v>170602.31</c:v>
                </c:pt>
                <c:pt idx="16">
                  <c:v>157237.46</c:v>
                </c:pt>
                <c:pt idx="17">
                  <c:v>142699.42</c:v>
                </c:pt>
                <c:pt idx="18">
                  <c:v>126885.26</c:v>
                </c:pt>
                <c:pt idx="19">
                  <c:v>109682.95</c:v>
                </c:pt>
                <c:pt idx="20">
                  <c:v>90970.63</c:v>
                </c:pt>
                <c:pt idx="21">
                  <c:v>70615.71</c:v>
                </c:pt>
                <c:pt idx="22">
                  <c:v>48474.07</c:v>
                </c:pt>
                <c:pt idx="23">
                  <c:v>24388.86</c:v>
                </c:pt>
              </c:numCache>
            </c:numRef>
          </c:val>
        </c:ser>
        <c:axId val="111111111"/>
        <c:axId val="222222222"/>
      </c:line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9</xdr:col>
      <xdr:colOff>0</xdr:colOff>
      <xdr:row>47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Z53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'Mortgage Setup'!B5</f>
        <v>350000</v>
      </c>
      <c r="C5" s="5"/>
      <c r="E5" s="6">
        <f>'Mortgage Setup'!B26</f>
        <v>2316.0699999999997</v>
      </c>
      <c r="F5" s="6"/>
      <c r="H5" s="7">
        <f>'Mortgage Setup'!B29</f>
        <v>309569.38</v>
      </c>
      <c r="I5" s="7"/>
    </row>
    <row r="6" ht="20" customHeight="1" spans="2:9" x14ac:dyDescent="0.25">
      <c r="B6" s="8" t="s">
        <v>6</v>
      </c>
      <c r="C6" s="8"/>
      <c r="E6" s="8" t="s">
        <v>7</v>
      </c>
      <c r="F6" s="8"/>
      <c r="H6" s="8" t="s">
        <v>8</v>
      </c>
      <c r="I6" s="8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9">
        <f>'Mortgage Setup'!B31</f>
        <v>55366</v>
      </c>
      <c r="C9" s="9"/>
      <c r="E9" s="10">
        <f>'Mortgage Setup'!B30</f>
        <v>64221.29999999999</v>
      </c>
      <c r="F9" s="10"/>
      <c r="H9" s="5">
        <f>'Mortgage Setup'!B32</f>
        <v>813569.38</v>
      </c>
      <c r="I9" s="5"/>
    </row>
    <row r="10" ht="20" customHeight="1" spans="2:9" x14ac:dyDescent="0.25">
      <c r="B10" s="8" t="s">
        <v>12</v>
      </c>
      <c r="C10" s="8"/>
      <c r="E10" s="8" t="s">
        <v>13</v>
      </c>
      <c r="F10" s="8"/>
      <c r="H10" s="8" t="s">
        <v>14</v>
      </c>
      <c r="I10" s="8"/>
    </row>
    <row r="11" ht="14" customHeight="1" x14ac:dyDescent="0.25"/>
    <row r="12" ht="28" customHeight="1" spans="2:9" x14ac:dyDescent="0.25">
      <c r="B12" s="11" t="s">
        <v>15</v>
      </c>
      <c r="C12" s="12"/>
      <c r="D12" s="12"/>
      <c r="E12" s="12"/>
      <c r="F12" s="12"/>
      <c r="G12" s="12"/>
      <c r="H12" s="12"/>
      <c r="I12" s="12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11" t="s">
        <v>16</v>
      </c>
      <c r="C29" s="12"/>
      <c r="D29" s="12"/>
      <c r="E29" s="12"/>
      <c r="F29" s="12"/>
      <c r="G29" s="12"/>
      <c r="H29" s="12"/>
      <c r="I29" s="12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6" customHeight="1" x14ac:dyDescent="0.25"/>
    <row r="47" ht="20" customHeight="1" spans="1:9" x14ac:dyDescent="0.25">
      <c r="A47" s="13" t="s">
        <v>17</v>
      </c>
      <c r="B47" s="13"/>
      <c r="C47" s="13"/>
      <c r="D47" s="13"/>
      <c r="E47" s="13"/>
      <c r="F47" s="13"/>
      <c r="G47" s="13"/>
      <c r="H47" s="13"/>
      <c r="I47" s="13"/>
    </row>
    <row r="48" ht="20" customHeight="1" spans="1:9" x14ac:dyDescent="0.25">
      <c r="A48" s="14" t="s">
        <v>18</v>
      </c>
      <c r="B48" s="14"/>
      <c r="C48" s="14"/>
      <c r="D48" s="14"/>
      <c r="E48" s="14"/>
      <c r="F48" s="14"/>
      <c r="G48" s="14"/>
      <c r="H48" s="14"/>
      <c r="I48" s="14"/>
    </row>
    <row r="49" ht="1" customHeight="1" spans="2:7" x14ac:dyDescent="0.25">
      <c r="B49" s="15" t="s">
        <v>19</v>
      </c>
      <c r="C49" s="15" t="s">
        <v>20</v>
      </c>
      <c r="D49" s="15" t="s">
        <v>21</v>
      </c>
      <c r="E49" s="15" t="s">
        <v>22</v>
      </c>
      <c r="F49" s="15" t="s">
        <v>23</v>
      </c>
      <c r="G49" s="15" t="s">
        <v>24</v>
      </c>
    </row>
    <row r="50" ht="1" customHeight="1" spans="2:7" x14ac:dyDescent="0.25">
      <c r="B50" s="15" t="s">
        <v>25</v>
      </c>
      <c r="C50" s="15">
        <f>IFERROR('Amortization Schedule'!D5,0)</f>
        <v>241.07</v>
      </c>
      <c r="D50" s="15">
        <f>IFERROR('Amortization Schedule'!E5,0)</f>
        <v>1575</v>
      </c>
      <c r="E50" s="15">
        <f>'Mortgage Setup'!B22</f>
        <v>350</v>
      </c>
      <c r="F50" s="15">
        <f>'Mortgage Setup'!B23</f>
        <v>150</v>
      </c>
      <c r="G50" s="15">
        <f>'Mortgage Setup'!B24</f>
        <v>0</v>
      </c>
    </row>
    <row r="51" ht="1" customHeight="1" spans="2:26" x14ac:dyDescent="0.25">
      <c r="B51" s="15" t="s">
        <v>19</v>
      </c>
      <c r="C51" s="15" t="s">
        <v>26</v>
      </c>
      <c r="D51" s="15" t="s">
        <v>27</v>
      </c>
      <c r="E51" s="15" t="s">
        <v>28</v>
      </c>
      <c r="F51" s="15" t="s">
        <v>29</v>
      </c>
      <c r="G51" s="15" t="s">
        <v>30</v>
      </c>
      <c r="H51" s="15" t="s">
        <v>31</v>
      </c>
      <c r="I51" s="15" t="s">
        <v>32</v>
      </c>
      <c r="J51" s="15" t="s">
        <v>33</v>
      </c>
      <c r="K51" s="15" t="s">
        <v>34</v>
      </c>
      <c r="L51" s="15" t="s">
        <v>35</v>
      </c>
      <c r="M51" s="15" t="s">
        <v>36</v>
      </c>
      <c r="N51" s="15" t="s">
        <v>37</v>
      </c>
      <c r="O51" s="15" t="s">
        <v>38</v>
      </c>
      <c r="P51" s="15" t="s">
        <v>39</v>
      </c>
      <c r="Q51" s="15" t="s">
        <v>40</v>
      </c>
      <c r="R51" s="15" t="s">
        <v>41</v>
      </c>
      <c r="S51" s="15" t="s">
        <v>42</v>
      </c>
      <c r="T51" s="15" t="s">
        <v>43</v>
      </c>
      <c r="U51" s="15" t="s">
        <v>44</v>
      </c>
      <c r="V51" s="15" t="s">
        <v>45</v>
      </c>
      <c r="W51" s="15" t="s">
        <v>46</v>
      </c>
      <c r="X51" s="15" t="s">
        <v>47</v>
      </c>
      <c r="Y51" s="15" t="s">
        <v>48</v>
      </c>
      <c r="Z51" s="15" t="s">
        <v>49</v>
      </c>
    </row>
    <row r="52" ht="1" customHeight="1" spans="2:26" x14ac:dyDescent="0.25">
      <c r="B52" s="15" t="s">
        <v>50</v>
      </c>
      <c r="C52" s="15">
        <f>IFERROR('Amortization Schedule'!G5,0)</f>
        <v>279658.93</v>
      </c>
      <c r="D52" s="15">
        <f>IFERROR('Amortization Schedule'!G20,0)</f>
        <v>274306.5</v>
      </c>
      <c r="E52" s="15">
        <f>IFERROR('Amortization Schedule'!G35,0)</f>
        <v>268484.23</v>
      </c>
      <c r="F52" s="15">
        <f>IFERROR('Amortization Schedule'!G50,0)</f>
        <v>262150.89</v>
      </c>
      <c r="G52" s="15">
        <f>IFERROR('Amortization Schedule'!G65,0)</f>
        <v>255261.62</v>
      </c>
      <c r="H52" s="15">
        <f>IFERROR('Amortization Schedule'!G80,0)</f>
        <v>247767.62</v>
      </c>
      <c r="I52" s="15">
        <f>IFERROR('Amortization Schedule'!G95,0)</f>
        <v>239615.77</v>
      </c>
      <c r="J52" s="15">
        <f>IFERROR('Amortization Schedule'!G110,0)</f>
        <v>230748.38</v>
      </c>
      <c r="K52" s="15">
        <f>IFERROR('Amortization Schedule'!G125,0)</f>
        <v>221102.59</v>
      </c>
      <c r="L52" s="15">
        <f>IFERROR('Amortization Schedule'!G140,0)</f>
        <v>210610.12</v>
      </c>
      <c r="M52" s="15">
        <f>IFERROR('Amortization Schedule'!G155,0)</f>
        <v>199196.61</v>
      </c>
      <c r="N52" s="15">
        <f>IFERROR('Amortization Schedule'!G170,0)</f>
        <v>186781.26</v>
      </c>
      <c r="O52" s="15">
        <f>IFERROR('Amortization Schedule'!G185,0)</f>
        <v>173276.06</v>
      </c>
      <c r="P52" s="15">
        <f>IFERROR('Amortization Schedule'!G200,0)</f>
        <v>158585.38</v>
      </c>
      <c r="Q52" s="15">
        <f>IFERROR('Amortization Schedule'!G215,0)</f>
        <v>142605.14</v>
      </c>
      <c r="R52" s="15">
        <f>IFERROR('Amortization Schedule'!G230,0)</f>
        <v>125222.19</v>
      </c>
      <c r="S52" s="15">
        <f>IFERROR('Amortization Schedule'!G245,0)</f>
        <v>106313.36</v>
      </c>
      <c r="T52" s="15">
        <f>IFERROR('Amortization Schedule'!G260,0)</f>
        <v>85744.73</v>
      </c>
      <c r="U52" s="15">
        <f>IFERROR('Amortization Schedule'!G275,0)</f>
        <v>63370.57</v>
      </c>
      <c r="V52" s="15">
        <f>IFERROR('Amortization Schedule'!G290,0)</f>
        <v>39032.43</v>
      </c>
      <c r="W52" s="15">
        <f>IFERROR('Amortization Schedule'!G305,0)</f>
        <v>12557.89</v>
      </c>
      <c r="X52" s="15">
        <f>IFERROR('Amortization Schedule'!G320,0)</f>
        <v>0</v>
      </c>
      <c r="Y52" s="15">
        <f>IFERROR('Amortization Schedule'!G335,0)</f>
        <v>0</v>
      </c>
      <c r="Z52" s="15">
        <f>IFERROR('Amortization Schedule'!G350,0)</f>
        <v>0</v>
      </c>
    </row>
    <row r="53" ht="1" customHeight="1" spans="2:26" x14ac:dyDescent="0.25">
      <c r="B53" s="15" t="s">
        <v>51</v>
      </c>
      <c r="C53" s="15">
        <v>279758.93</v>
      </c>
      <c r="D53" s="15">
        <v>275975.81</v>
      </c>
      <c r="E53" s="15">
        <v>271860.6</v>
      </c>
      <c r="F53" s="15">
        <v>267384.18</v>
      </c>
      <c r="G53" s="15">
        <v>262514.81</v>
      </c>
      <c r="H53" s="15">
        <v>257218.01</v>
      </c>
      <c r="I53" s="15">
        <v>251456.25</v>
      </c>
      <c r="J53" s="15">
        <v>245188.74</v>
      </c>
      <c r="K53" s="15">
        <v>238371.07</v>
      </c>
      <c r="L53" s="15">
        <v>230954.94</v>
      </c>
      <c r="M53" s="15">
        <v>222887.83</v>
      </c>
      <c r="N53" s="15">
        <v>214112.58</v>
      </c>
      <c r="O53" s="15">
        <v>204567.02</v>
      </c>
      <c r="P53" s="15">
        <v>194183.57</v>
      </c>
      <c r="Q53" s="15">
        <v>182888.68</v>
      </c>
      <c r="R53" s="15">
        <v>170602.31</v>
      </c>
      <c r="S53" s="15">
        <v>157237.46</v>
      </c>
      <c r="T53" s="15">
        <v>142699.42</v>
      </c>
      <c r="U53" s="15">
        <v>126885.26</v>
      </c>
      <c r="V53" s="15">
        <v>109682.95</v>
      </c>
      <c r="W53" s="15">
        <v>90970.63</v>
      </c>
      <c r="X53" s="15">
        <v>70615.71</v>
      </c>
      <c r="Y53" s="15">
        <v>48474.07</v>
      </c>
      <c r="Z53" s="15">
        <v>24388.86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47:I47"/>
    <mergeCell ref="A48:I48"/>
  </mergeCells>
  <hyperlinks>
    <hyperlink ref="G2" r:id="rId1"/>
    <hyperlink ref="A48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C36"/>
  <sheetViews>
    <sheetView workbookViewId="0" showGridLines="0" zoomScale="125"/>
  </sheetViews>
  <sheetFormatPr defaultRowHeight="15" outlineLevelRow="0" outlineLevelCol="0" x14ac:dyDescent="55"/>
  <cols>
    <col min="1" max="1" width="28" customWidth="1"/>
    <col min="2" max="2" width="20" customWidth="1"/>
    <col min="3" max="3" width="32" customWidth="1"/>
  </cols>
  <sheetData>
    <row r="1" ht="48" customHeight="1" spans="1:3" x14ac:dyDescent="0.25">
      <c r="A1" s="16" t="s">
        <v>52</v>
      </c>
      <c r="B1" s="16"/>
      <c r="C1" s="16"/>
    </row>
    <row r="2" ht="24" customHeight="1" spans="1:3" x14ac:dyDescent="0.25">
      <c r="A2" s="17" t="s">
        <v>53</v>
      </c>
      <c r="B2" s="17"/>
      <c r="C2" s="17"/>
    </row>
    <row r="3" ht="14" customHeight="1" x14ac:dyDescent="0.25"/>
    <row r="4" ht="28" customHeight="1" spans="1:3" x14ac:dyDescent="0.25">
      <c r="A4" s="11" t="s">
        <v>54</v>
      </c>
      <c r="B4" s="12"/>
      <c r="C4" s="12"/>
    </row>
    <row r="5" ht="26" customHeight="1" spans="1:3" x14ac:dyDescent="0.25">
      <c r="A5" s="18" t="s">
        <v>55</v>
      </c>
      <c r="B5" s="19">
        <v>350000</v>
      </c>
      <c r="C5" s="17" t="s">
        <v>56</v>
      </c>
    </row>
    <row r="6" ht="26" customHeight="1" spans="1:3" x14ac:dyDescent="0.25">
      <c r="A6" s="18" t="s">
        <v>57</v>
      </c>
      <c r="B6" s="20">
        <v>0.2</v>
      </c>
      <c r="C6" s="17" t="s">
        <v>58</v>
      </c>
    </row>
    <row r="7" ht="26" customHeight="1" spans="1:2" x14ac:dyDescent="0.25">
      <c r="A7" s="18" t="s">
        <v>59</v>
      </c>
      <c r="B7" s="21">
        <f>ROUND(B5*B6,0)</f>
        <v>70000</v>
      </c>
    </row>
    <row r="8" ht="26" customHeight="1" spans="1:2" x14ac:dyDescent="0.25">
      <c r="A8" s="18" t="s">
        <v>60</v>
      </c>
      <c r="B8" s="21">
        <f>B5-B7</f>
        <v>280000</v>
      </c>
    </row>
    <row r="9" ht="26" customHeight="1" spans="1:3" x14ac:dyDescent="0.25">
      <c r="A9" s="18" t="s">
        <v>61</v>
      </c>
      <c r="B9" s="20">
        <v>0.0675</v>
      </c>
      <c r="C9" s="17" t="s">
        <v>62</v>
      </c>
    </row>
    <row r="10" ht="26" customHeight="1" spans="1:3" x14ac:dyDescent="0.25">
      <c r="A10" s="18" t="s">
        <v>63</v>
      </c>
      <c r="B10" s="22">
        <v>30</v>
      </c>
      <c r="C10" s="17" t="s">
        <v>64</v>
      </c>
    </row>
    <row r="11" ht="26" customHeight="1" spans="1:3" x14ac:dyDescent="0.25">
      <c r="A11" s="18" t="s">
        <v>65</v>
      </c>
      <c r="B11" s="23">
        <v>46023</v>
      </c>
      <c r="C11" s="17" t="s">
        <v>66</v>
      </c>
    </row>
    <row r="12" ht="26" customHeight="1" spans="1:3" x14ac:dyDescent="0.25">
      <c r="A12" s="18" t="s">
        <v>67</v>
      </c>
      <c r="B12" s="24">
        <v>100</v>
      </c>
      <c r="C12" s="17" t="s">
        <v>68</v>
      </c>
    </row>
    <row r="13" ht="14" customHeight="1" x14ac:dyDescent="0.25"/>
    <row r="14" ht="28" customHeight="1" spans="1:3" x14ac:dyDescent="0.25">
      <c r="A14" s="11" t="s">
        <v>69</v>
      </c>
      <c r="B14" s="12"/>
      <c r="C14" s="12"/>
    </row>
    <row r="15" ht="26" customHeight="1" spans="1:3" x14ac:dyDescent="0.25">
      <c r="A15" s="18" t="s">
        <v>70</v>
      </c>
      <c r="B15" s="20">
        <v>0.012</v>
      </c>
      <c r="C15" s="17" t="s">
        <v>71</v>
      </c>
    </row>
    <row r="16" ht="26" customHeight="1" spans="1:3" x14ac:dyDescent="0.25">
      <c r="A16" s="18" t="s">
        <v>72</v>
      </c>
      <c r="B16" s="19">
        <v>1800</v>
      </c>
      <c r="C16" s="17" t="s">
        <v>73</v>
      </c>
    </row>
    <row r="17" ht="26" customHeight="1" spans="1:3" x14ac:dyDescent="0.25">
      <c r="A17" s="18" t="s">
        <v>74</v>
      </c>
      <c r="B17" s="20">
        <v>0.005</v>
      </c>
      <c r="C17" s="17" t="s">
        <v>75</v>
      </c>
    </row>
    <row r="18" ht="26" customHeight="1" spans="1:3" x14ac:dyDescent="0.25">
      <c r="A18" s="18" t="s">
        <v>76</v>
      </c>
      <c r="B18" s="24">
        <v>0</v>
      </c>
      <c r="C18" s="17" t="s">
        <v>77</v>
      </c>
    </row>
    <row r="19" ht="14" customHeight="1" x14ac:dyDescent="0.25"/>
    <row r="20" ht="28" customHeight="1" spans="1:3" x14ac:dyDescent="0.25">
      <c r="A20" s="11" t="s">
        <v>15</v>
      </c>
      <c r="B20" s="12"/>
      <c r="C20" s="12"/>
    </row>
    <row r="21" ht="26" customHeight="1" spans="1:2" x14ac:dyDescent="0.25">
      <c r="A21" s="18" t="s">
        <v>78</v>
      </c>
      <c r="B21" s="25">
        <f>IF(B9=0,B8/(B10*12),ROUND(B8*(B9/12*(1+B9/12)^(B10*12))/((1+B9/12)^(B10*12)-1),2))</f>
        <v>1816.07</v>
      </c>
    </row>
    <row r="22" ht="26" customHeight="1" spans="1:2" x14ac:dyDescent="0.25">
      <c r="A22" s="18" t="s">
        <v>79</v>
      </c>
      <c r="B22" s="25">
        <f>ROUND(B5*B15/12,2)</f>
        <v>350</v>
      </c>
    </row>
    <row r="23" ht="26" customHeight="1" spans="1:2" x14ac:dyDescent="0.25">
      <c r="A23" s="18" t="s">
        <v>80</v>
      </c>
      <c r="B23" s="25">
        <f>ROUND(B16/12,2)</f>
        <v>150</v>
      </c>
    </row>
    <row r="24" ht="26" customHeight="1" spans="1:2" x14ac:dyDescent="0.25">
      <c r="A24" s="18" t="s">
        <v>81</v>
      </c>
      <c r="B24" s="25">
        <f>IF(B6&lt;0.2,ROUND(B8*B17/12,2),0)</f>
        <v>0</v>
      </c>
    </row>
    <row r="25" ht="26" customHeight="1" spans="1:2" x14ac:dyDescent="0.25">
      <c r="A25" s="18" t="s">
        <v>82</v>
      </c>
      <c r="B25" s="25">
        <f>B18</f>
        <v>0</v>
      </c>
    </row>
    <row r="26" ht="24" customHeight="1" spans="1:2" x14ac:dyDescent="0.25">
      <c r="A26" s="18" t="s">
        <v>83</v>
      </c>
      <c r="B26" s="26">
        <f>B21+B22+B23+B24+B25</f>
        <v>2316.0699999999997</v>
      </c>
    </row>
    <row r="27" ht="14" customHeight="1" x14ac:dyDescent="0.25"/>
    <row r="28" ht="28" customHeight="1" spans="1:3" x14ac:dyDescent="0.25">
      <c r="A28" s="11" t="s">
        <v>84</v>
      </c>
      <c r="B28" s="12"/>
      <c r="C28" s="12"/>
    </row>
    <row r="29" ht="26" customHeight="1" spans="1:2" x14ac:dyDescent="0.25">
      <c r="A29" s="18" t="s">
        <v>85</v>
      </c>
      <c r="B29" s="25">
        <f>IFERROR(SUM('Amortization Schedule'!E5:E364),0)</f>
        <v>309569.38</v>
      </c>
    </row>
    <row r="30" ht="26" customHeight="1" spans="1:2" x14ac:dyDescent="0.25">
      <c r="A30" s="18" t="s">
        <v>86</v>
      </c>
      <c r="B30" s="25">
        <f>IF(B12=0,0,ROUND(B21*B10*12-B8-B29,2))</f>
        <v>64221.29999999999</v>
      </c>
    </row>
    <row r="31" ht="26" customHeight="1" spans="1:2" x14ac:dyDescent="0.25">
      <c r="A31" s="18" t="s">
        <v>87</v>
      </c>
      <c r="B31" s="27">
        <f>IFERROR(DATE(YEAR(B11),MONTH(B11)+COUNTIF('Amortization Schedule'!G5:G364,"&gt;0"),1),B11)</f>
        <v>55366</v>
      </c>
    </row>
    <row r="32" ht="26" customHeight="1" spans="1:2" x14ac:dyDescent="0.25">
      <c r="A32" s="18" t="s">
        <v>88</v>
      </c>
      <c r="B32" s="21">
        <f>B5+B29+(B22*(COUNTIF('Amortization Schedule'!G5:G364,"&gt;0")+1))+(B23*(COUNTIF('Amortization Schedule'!G5:G364,"&gt;0")+1))+(B24*(COUNTIF('Amortization Schedule'!G5:G364,"&gt;0")+1))+(B25*(COUNTIF('Amortization Schedule'!G5:G364,"&gt;0")+1))</f>
        <v>813569.38</v>
      </c>
    </row>
    <row r="33" ht="14" customHeight="1" x14ac:dyDescent="0.25"/>
    <row r="34" ht="6" customHeight="1" x14ac:dyDescent="0.25"/>
    <row r="35" ht="20" customHeight="1" spans="1:3" x14ac:dyDescent="0.25">
      <c r="A35" s="13" t="s">
        <v>17</v>
      </c>
      <c r="B35" s="13"/>
      <c r="C35" s="13"/>
    </row>
    <row r="36" ht="20" customHeight="1" spans="1:3" x14ac:dyDescent="0.25">
      <c r="A36" s="14" t="s">
        <v>18</v>
      </c>
      <c r="B36" s="14"/>
      <c r="C36" s="14"/>
    </row>
  </sheetData>
  <sheetProtection sheet="1"/>
  <mergeCells count="4">
    <mergeCell ref="A1:C1"/>
    <mergeCell ref="A2:C2"/>
    <mergeCell ref="A35:C35"/>
    <mergeCell ref="A36:C36"/>
  </mergeCells>
  <hyperlinks>
    <hyperlink ref="A36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H368"/>
  <sheetViews>
    <sheetView workbookViewId="0" showGridLines="0" zoomScale="10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2" width="12" customWidth="1"/>
    <col min="3" max="6" width="14" customWidth="1"/>
    <col min="7" max="8" width="16" customWidth="1"/>
  </cols>
  <sheetData>
    <row r="1" ht="48" customHeight="1" spans="1:8" x14ac:dyDescent="0.25">
      <c r="A1" s="16" t="s">
        <v>89</v>
      </c>
      <c r="B1" s="16"/>
      <c r="C1" s="16"/>
      <c r="D1" s="16"/>
      <c r="E1" s="16"/>
      <c r="F1" s="16"/>
      <c r="G1" s="16"/>
      <c r="H1" s="16"/>
    </row>
    <row r="2" ht="24" customHeight="1" spans="1:8" x14ac:dyDescent="0.25">
      <c r="A2" s="17" t="s">
        <v>90</v>
      </c>
      <c r="B2" s="17"/>
      <c r="C2" s="17"/>
      <c r="D2" s="17"/>
      <c r="E2" s="17"/>
      <c r="F2" s="17"/>
      <c r="G2" s="17"/>
      <c r="H2" s="17"/>
    </row>
    <row r="3" ht="14" customHeight="1" x14ac:dyDescent="0.25"/>
    <row r="4" ht="32" customHeight="1" spans="1:8" x14ac:dyDescent="0.25">
      <c r="A4" s="28" t="s">
        <v>91</v>
      </c>
      <c r="B4" s="29" t="s">
        <v>92</v>
      </c>
      <c r="C4" s="29" t="s">
        <v>25</v>
      </c>
      <c r="D4" s="29" t="s">
        <v>20</v>
      </c>
      <c r="E4" s="29" t="s">
        <v>21</v>
      </c>
      <c r="F4" s="29" t="s">
        <v>93</v>
      </c>
      <c r="G4" s="29" t="s">
        <v>94</v>
      </c>
      <c r="H4" s="29" t="s">
        <v>95</v>
      </c>
    </row>
    <row r="5" ht="26" customHeight="1" spans="1:8" x14ac:dyDescent="0.25">
      <c r="A5" s="30">
        <f>IF('Mortgage Setup'!B8&gt;0,1,"")</f>
        <v>1</v>
      </c>
      <c r="B5" s="31">
        <f>IF(A5="","",'Mortgage Setup'!B11)</f>
        <v>46023</v>
      </c>
      <c r="C5" s="32">
        <f>IF(A5="",0,IF('Mortgage Setup'!B8&lt;=0,0,MIN('Mortgage Setup'!B21,'Mortgage Setup'!B8*(1+'Mortgage Setup'!B9/12))))</f>
        <v>1816.07</v>
      </c>
      <c r="D5" s="32">
        <f>IF(A5="",0,IF('Mortgage Setup'!B8&lt;=0,0,MIN(C5-E5,'Mortgage Setup'!B8)))</f>
        <v>241.07</v>
      </c>
      <c r="E5" s="32">
        <f>IF(A5="",0,IF('Mortgage Setup'!B8&lt;=0,0,ROUND('Mortgage Setup'!B8*('Mortgage Setup'!B9/12),2)))</f>
        <v>1575</v>
      </c>
      <c r="F5" s="32">
        <f>IF(A5="",0,IF('Mortgage Setup'!B8&lt;=0,0,MIN('Mortgage Setup'!B12,MAX('Mortgage Setup'!B8-D5,0))))</f>
        <v>100</v>
      </c>
      <c r="G5" s="32">
        <f>IF(A5="",0,MAX('Mortgage Setup'!B8-D5-F5,0))</f>
        <v>279658.93</v>
      </c>
      <c r="H5" s="32">
        <f>IF(A5="",0,E5)</f>
        <v>1575</v>
      </c>
    </row>
    <row r="6" ht="26" customHeight="1" spans="1:8" x14ac:dyDescent="0.25">
      <c r="A6" s="33">
        <f>IF(G5&gt;0,2,"")</f>
        <v>2</v>
      </c>
      <c r="B6" s="34">
        <f>IF(A6="","",DATE(YEAR('Mortgage Setup'!B11),MONTH('Mortgage Setup'!B11)+1,DAY('Mortgage Setup'!B11)))</f>
        <v>46054</v>
      </c>
      <c r="C6" s="35">
        <f>IF(A6="",0,IF(G5&lt;=0,0,MIN('Mortgage Setup'!B21,G5*(1+'Mortgage Setup'!B9/12))))</f>
        <v>1816.07</v>
      </c>
      <c r="D6" s="35">
        <f>IF(A6="",0,IF(G5&lt;=0,0,MIN(C6-E6,G5)))</f>
        <v>242.99</v>
      </c>
      <c r="E6" s="35">
        <f>IF(A6="",0,IF(G5&lt;=0,0,ROUND(G5*('Mortgage Setup'!B9/12),2)))</f>
        <v>1573.08</v>
      </c>
      <c r="F6" s="35">
        <f>IF(A6="",0,IF(G5&lt;=0,0,MIN('Mortgage Setup'!B12,MAX(G5-D6,0))))</f>
        <v>100</v>
      </c>
      <c r="G6" s="35">
        <f>IF(A6="",0,MAX(G5-D6-F6,0))</f>
        <v>279315.94</v>
      </c>
      <c r="H6" s="35">
        <f>IF(A6="",0,H5+E6)</f>
        <v>3148.08</v>
      </c>
    </row>
    <row r="7" ht="26" customHeight="1" spans="1:8" x14ac:dyDescent="0.25">
      <c r="A7" s="30">
        <f>IF(G6&gt;0,3,"")</f>
        <v>3</v>
      </c>
      <c r="B7" s="31">
        <f>IF(A7="","",DATE(YEAR('Mortgage Setup'!B11),MONTH('Mortgage Setup'!B11)+2,DAY('Mortgage Setup'!B11)))</f>
        <v>46082</v>
      </c>
      <c r="C7" s="32">
        <f>IF(A7="",0,IF(G6&lt;=0,0,MIN('Mortgage Setup'!B21,G6*(1+'Mortgage Setup'!B9/12))))</f>
        <v>1816.07</v>
      </c>
      <c r="D7" s="32">
        <f>IF(A7="",0,IF(G6&lt;=0,0,MIN(C7-E7,G6)))</f>
        <v>244.92</v>
      </c>
      <c r="E7" s="32">
        <f>IF(A7="",0,IF(G6&lt;=0,0,ROUND(G6*('Mortgage Setup'!B9/12),2)))</f>
        <v>1571.15</v>
      </c>
      <c r="F7" s="32">
        <f>IF(A7="",0,IF(G6&lt;=0,0,MIN('Mortgage Setup'!B12,MAX(G6-D7,0))))</f>
        <v>100</v>
      </c>
      <c r="G7" s="32">
        <f>IF(A7="",0,MAX(G6-D7-F7,0))</f>
        <v>278971.02</v>
      </c>
      <c r="H7" s="32">
        <f>IF(A7="",0,H6+E7)</f>
        <v>4719.23</v>
      </c>
    </row>
    <row r="8" ht="26" customHeight="1" spans="1:8" x14ac:dyDescent="0.25">
      <c r="A8" s="33">
        <f>IF(G7&gt;0,4,"")</f>
        <v>4</v>
      </c>
      <c r="B8" s="34">
        <f>IF(A8="","",DATE(YEAR('Mortgage Setup'!B11),MONTH('Mortgage Setup'!B11)+3,DAY('Mortgage Setup'!B11)))</f>
        <v>46113</v>
      </c>
      <c r="C8" s="35">
        <f>IF(A8="",0,IF(G7&lt;=0,0,MIN('Mortgage Setup'!B21,G7*(1+'Mortgage Setup'!B9/12))))</f>
        <v>1816.07</v>
      </c>
      <c r="D8" s="35">
        <f>IF(A8="",0,IF(G7&lt;=0,0,MIN(C8-E8,G7)))</f>
        <v>246.86</v>
      </c>
      <c r="E8" s="35">
        <f>IF(A8="",0,IF(G7&lt;=0,0,ROUND(G7*('Mortgage Setup'!B9/12),2)))</f>
        <v>1569.21</v>
      </c>
      <c r="F8" s="35">
        <f>IF(A8="",0,IF(G7&lt;=0,0,MIN('Mortgage Setup'!B12,MAX(G7-D8,0))))</f>
        <v>100</v>
      </c>
      <c r="G8" s="35">
        <f>IF(A8="",0,MAX(G7-D8-F8,0))</f>
        <v>278624.16</v>
      </c>
      <c r="H8" s="35">
        <f>IF(A8="",0,H7+E8)</f>
        <v>6288.44</v>
      </c>
    </row>
    <row r="9" ht="26" customHeight="1" spans="1:8" x14ac:dyDescent="0.25">
      <c r="A9" s="30">
        <f>IF(G8&gt;0,5,"")</f>
        <v>5</v>
      </c>
      <c r="B9" s="31">
        <f>IF(A9="","",DATE(YEAR('Mortgage Setup'!B11),MONTH('Mortgage Setup'!B11)+4,DAY('Mortgage Setup'!B11)))</f>
        <v>46143</v>
      </c>
      <c r="C9" s="32">
        <f>IF(A9="",0,IF(G8&lt;=0,0,MIN('Mortgage Setup'!B21,G8*(1+'Mortgage Setup'!B9/12))))</f>
        <v>1816.07</v>
      </c>
      <c r="D9" s="32">
        <f>IF(A9="",0,IF(G8&lt;=0,0,MIN(C9-E9,G8)))</f>
        <v>248.81</v>
      </c>
      <c r="E9" s="32">
        <f>IF(A9="",0,IF(G8&lt;=0,0,ROUND(G8*('Mortgage Setup'!B9/12),2)))</f>
        <v>1567.26</v>
      </c>
      <c r="F9" s="32">
        <f>IF(A9="",0,IF(G8&lt;=0,0,MIN('Mortgage Setup'!B12,MAX(G8-D9,0))))</f>
        <v>100</v>
      </c>
      <c r="G9" s="32">
        <f>IF(A9="",0,MAX(G8-D9-F9,0))</f>
        <v>278275.35</v>
      </c>
      <c r="H9" s="32">
        <f>IF(A9="",0,H8+E9)</f>
        <v>7855.7</v>
      </c>
    </row>
    <row r="10" ht="26" customHeight="1" spans="1:8" x14ac:dyDescent="0.25">
      <c r="A10" s="33">
        <f>IF(G9&gt;0,6,"")</f>
        <v>6</v>
      </c>
      <c r="B10" s="34">
        <f>IF(A10="","",DATE(YEAR('Mortgage Setup'!B11),MONTH('Mortgage Setup'!B11)+5,DAY('Mortgage Setup'!B11)))</f>
        <v>46174</v>
      </c>
      <c r="C10" s="35">
        <f>IF(A10="",0,IF(G9&lt;=0,0,MIN('Mortgage Setup'!B21,G9*(1+'Mortgage Setup'!B9/12))))</f>
        <v>1816.07</v>
      </c>
      <c r="D10" s="35">
        <f>IF(A10="",0,IF(G9&lt;=0,0,MIN(C10-E10,G9)))</f>
        <v>250.77</v>
      </c>
      <c r="E10" s="35">
        <f>IF(A10="",0,IF(G9&lt;=0,0,ROUND(G9*('Mortgage Setup'!B9/12),2)))</f>
        <v>1565.3</v>
      </c>
      <c r="F10" s="35">
        <f>IF(A10="",0,IF(G9&lt;=0,0,MIN('Mortgage Setup'!B12,MAX(G9-D10,0))))</f>
        <v>100</v>
      </c>
      <c r="G10" s="35">
        <f>IF(A10="",0,MAX(G9-D10-F10,0))</f>
        <v>277924.58</v>
      </c>
      <c r="H10" s="35">
        <f>IF(A10="",0,H9+E10)</f>
        <v>9421</v>
      </c>
    </row>
    <row r="11" ht="26" customHeight="1" spans="1:8" x14ac:dyDescent="0.25">
      <c r="A11" s="30">
        <f>IF(G10&gt;0,7,"")</f>
        <v>7</v>
      </c>
      <c r="B11" s="31">
        <f>IF(A11="","",DATE(YEAR('Mortgage Setup'!B11),MONTH('Mortgage Setup'!B11)+6,DAY('Mortgage Setup'!B11)))</f>
        <v>46204</v>
      </c>
      <c r="C11" s="32">
        <f>IF(A11="",0,IF(G10&lt;=0,0,MIN('Mortgage Setup'!B21,G10*(1+'Mortgage Setup'!B9/12))))</f>
        <v>1816.07</v>
      </c>
      <c r="D11" s="32">
        <f>IF(A11="",0,IF(G10&lt;=0,0,MIN(C11-E11,G10)))</f>
        <v>252.74</v>
      </c>
      <c r="E11" s="32">
        <f>IF(A11="",0,IF(G10&lt;=0,0,ROUND(G10*('Mortgage Setup'!B9/12),2)))</f>
        <v>1563.33</v>
      </c>
      <c r="F11" s="32">
        <f>IF(A11="",0,IF(G10&lt;=0,0,MIN('Mortgage Setup'!B12,MAX(G10-D11,0))))</f>
        <v>100</v>
      </c>
      <c r="G11" s="32">
        <f>IF(A11="",0,MAX(G10-D11-F11,0))</f>
        <v>277571.84</v>
      </c>
      <c r="H11" s="32">
        <f>IF(A11="",0,H10+E11)</f>
        <v>10984.33</v>
      </c>
    </row>
    <row r="12" ht="26" customHeight="1" spans="1:8" x14ac:dyDescent="0.25">
      <c r="A12" s="33">
        <f>IF(G11&gt;0,8,"")</f>
        <v>8</v>
      </c>
      <c r="B12" s="34">
        <f>IF(A12="","",DATE(YEAR('Mortgage Setup'!B11),MONTH('Mortgage Setup'!B11)+7,DAY('Mortgage Setup'!B11)))</f>
        <v>46235</v>
      </c>
      <c r="C12" s="35">
        <f>IF(A12="",0,IF(G11&lt;=0,0,MIN('Mortgage Setup'!B21,G11*(1+'Mortgage Setup'!B9/12))))</f>
        <v>1816.07</v>
      </c>
      <c r="D12" s="35">
        <f>IF(A12="",0,IF(G11&lt;=0,0,MIN(C12-E12,G11)))</f>
        <v>254.73</v>
      </c>
      <c r="E12" s="35">
        <f>IF(A12="",0,IF(G11&lt;=0,0,ROUND(G11*('Mortgage Setup'!B9/12),2)))</f>
        <v>1561.34</v>
      </c>
      <c r="F12" s="35">
        <f>IF(A12="",0,IF(G11&lt;=0,0,MIN('Mortgage Setup'!B12,MAX(G11-D12,0))))</f>
        <v>100</v>
      </c>
      <c r="G12" s="35">
        <f>IF(A12="",0,MAX(G11-D12-F12,0))</f>
        <v>277217.11</v>
      </c>
      <c r="H12" s="35">
        <f>IF(A12="",0,H11+E12)</f>
        <v>12545.67</v>
      </c>
    </row>
    <row r="13" ht="26" customHeight="1" spans="1:8" x14ac:dyDescent="0.25">
      <c r="A13" s="30">
        <f>IF(G12&gt;0,9,"")</f>
        <v>9</v>
      </c>
      <c r="B13" s="31">
        <f>IF(A13="","",DATE(YEAR('Mortgage Setup'!B11),MONTH('Mortgage Setup'!B11)+8,DAY('Mortgage Setup'!B11)))</f>
        <v>46266</v>
      </c>
      <c r="C13" s="32">
        <f>IF(A13="",0,IF(G12&lt;=0,0,MIN('Mortgage Setup'!B21,G12*(1+'Mortgage Setup'!B9/12))))</f>
        <v>1816.07</v>
      </c>
      <c r="D13" s="32">
        <f>IF(A13="",0,IF(G12&lt;=0,0,MIN(C13-E13,G12)))</f>
        <v>256.72</v>
      </c>
      <c r="E13" s="32">
        <f>IF(A13="",0,IF(G12&lt;=0,0,ROUND(G12*('Mortgage Setup'!B9/12),2)))</f>
        <v>1559.35</v>
      </c>
      <c r="F13" s="32">
        <f>IF(A13="",0,IF(G12&lt;=0,0,MIN('Mortgage Setup'!B12,MAX(G12-D13,0))))</f>
        <v>100</v>
      </c>
      <c r="G13" s="32">
        <f>IF(A13="",0,MAX(G12-D13-F13,0))</f>
        <v>276860.39</v>
      </c>
      <c r="H13" s="32">
        <f>IF(A13="",0,H12+E13)</f>
        <v>14105.02</v>
      </c>
    </row>
    <row r="14" ht="26" customHeight="1" spans="1:8" x14ac:dyDescent="0.25">
      <c r="A14" s="33">
        <f>IF(G13&gt;0,10,"")</f>
        <v>10</v>
      </c>
      <c r="B14" s="34">
        <f>IF(A14="","",DATE(YEAR('Mortgage Setup'!B11),MONTH('Mortgage Setup'!B11)+9,DAY('Mortgage Setup'!B11)))</f>
        <v>46296</v>
      </c>
      <c r="C14" s="35">
        <f>IF(A14="",0,IF(G13&lt;=0,0,MIN('Mortgage Setup'!B21,G13*(1+'Mortgage Setup'!B9/12))))</f>
        <v>1816.07</v>
      </c>
      <c r="D14" s="35">
        <f>IF(A14="",0,IF(G13&lt;=0,0,MIN(C14-E14,G13)))</f>
        <v>258.73</v>
      </c>
      <c r="E14" s="35">
        <f>IF(A14="",0,IF(G13&lt;=0,0,ROUND(G13*('Mortgage Setup'!B9/12),2)))</f>
        <v>1557.34</v>
      </c>
      <c r="F14" s="35">
        <f>IF(A14="",0,IF(G13&lt;=0,0,MIN('Mortgage Setup'!B12,MAX(G13-D14,0))))</f>
        <v>100</v>
      </c>
      <c r="G14" s="35">
        <f>IF(A14="",0,MAX(G13-D14-F14,0))</f>
        <v>276501.66</v>
      </c>
      <c r="H14" s="35">
        <f>IF(A14="",0,H13+E14)</f>
        <v>15662.36</v>
      </c>
    </row>
    <row r="15" ht="26" customHeight="1" spans="1:8" x14ac:dyDescent="0.25">
      <c r="A15" s="30">
        <f>IF(G14&gt;0,11,"")</f>
        <v>11</v>
      </c>
      <c r="B15" s="31">
        <f>IF(A15="","",DATE(YEAR('Mortgage Setup'!B11),MONTH('Mortgage Setup'!B11)+10,DAY('Mortgage Setup'!B11)))</f>
        <v>46327</v>
      </c>
      <c r="C15" s="32">
        <f>IF(A15="",0,IF(G14&lt;=0,0,MIN('Mortgage Setup'!B21,G14*(1+'Mortgage Setup'!B9/12))))</f>
        <v>1816.07</v>
      </c>
      <c r="D15" s="32">
        <f>IF(A15="",0,IF(G14&lt;=0,0,MIN(C15-E15,G14)))</f>
        <v>260.75</v>
      </c>
      <c r="E15" s="32">
        <f>IF(A15="",0,IF(G14&lt;=0,0,ROUND(G14*('Mortgage Setup'!B9/12),2)))</f>
        <v>1555.32</v>
      </c>
      <c r="F15" s="32">
        <f>IF(A15="",0,IF(G14&lt;=0,0,MIN('Mortgage Setup'!B12,MAX(G14-D15,0))))</f>
        <v>100</v>
      </c>
      <c r="G15" s="32">
        <f>IF(A15="",0,MAX(G14-D15-F15,0))</f>
        <v>276140.91</v>
      </c>
      <c r="H15" s="32">
        <f>IF(A15="",0,H14+E15)</f>
        <v>17217.68</v>
      </c>
    </row>
    <row r="16" ht="26" customHeight="1" spans="1:8" x14ac:dyDescent="0.25">
      <c r="A16" s="33">
        <f>IF(G15&gt;0,12,"")</f>
        <v>12</v>
      </c>
      <c r="B16" s="34">
        <f>IF(A16="","",DATE(YEAR('Mortgage Setup'!B11),MONTH('Mortgage Setup'!B11)+11,DAY('Mortgage Setup'!B11)))</f>
        <v>46357</v>
      </c>
      <c r="C16" s="35">
        <f>IF(A16="",0,IF(G15&lt;=0,0,MIN('Mortgage Setup'!B21,G15*(1+'Mortgage Setup'!B9/12))))</f>
        <v>1816.07</v>
      </c>
      <c r="D16" s="35">
        <f>IF(A16="",0,IF(G15&lt;=0,0,MIN(C16-E16,G15)))</f>
        <v>262.78</v>
      </c>
      <c r="E16" s="35">
        <f>IF(A16="",0,IF(G15&lt;=0,0,ROUND(G15*('Mortgage Setup'!B9/12),2)))</f>
        <v>1553.29</v>
      </c>
      <c r="F16" s="35">
        <f>IF(A16="",0,IF(G15&lt;=0,0,MIN('Mortgage Setup'!B12,MAX(G15-D16,0))))</f>
        <v>100</v>
      </c>
      <c r="G16" s="35">
        <f>IF(A16="",0,MAX(G15-D16-F16,0))</f>
        <v>275778.13</v>
      </c>
      <c r="H16" s="35">
        <f>IF(A16="",0,H15+E16)</f>
        <v>18770.97</v>
      </c>
    </row>
    <row r="17" ht="26" customHeight="1" spans="1:8" x14ac:dyDescent="0.25">
      <c r="A17" s="30">
        <f>IF(G16&gt;0,13,"")</f>
        <v>13</v>
      </c>
      <c r="B17" s="31">
        <f>IF(A17="","",DATE(YEAR('Mortgage Setup'!B11),MONTH('Mortgage Setup'!B11)+12,DAY('Mortgage Setup'!B11)))</f>
        <v>46388</v>
      </c>
      <c r="C17" s="32">
        <f>IF(A17="",0,IF(G16&lt;=0,0,MIN('Mortgage Setup'!B21,G16*(1+'Mortgage Setup'!B9/12))))</f>
        <v>1816.07</v>
      </c>
      <c r="D17" s="32">
        <f>IF(A17="",0,IF(G16&lt;=0,0,MIN(C17-E17,G16)))</f>
        <v>264.82</v>
      </c>
      <c r="E17" s="32">
        <f>IF(A17="",0,IF(G16&lt;=0,0,ROUND(G16*('Mortgage Setup'!B9/12),2)))</f>
        <v>1551.25</v>
      </c>
      <c r="F17" s="32">
        <f>IF(A17="",0,IF(G16&lt;=0,0,MIN('Mortgage Setup'!B12,MAX(G16-D17,0))))</f>
        <v>100</v>
      </c>
      <c r="G17" s="32">
        <f>IF(A17="",0,MAX(G16-D17-F17,0))</f>
        <v>275413.31</v>
      </c>
      <c r="H17" s="32">
        <f>IF(A17="",0,H16+E17)</f>
        <v>20322.22</v>
      </c>
    </row>
    <row r="18" ht="26" customHeight="1" spans="1:8" x14ac:dyDescent="0.25">
      <c r="A18" s="33">
        <f>IF(G17&gt;0,14,"")</f>
        <v>14</v>
      </c>
      <c r="B18" s="34">
        <f>IF(A18="","",DATE(YEAR('Mortgage Setup'!B11),MONTH('Mortgage Setup'!B11)+13,DAY('Mortgage Setup'!B11)))</f>
        <v>46419</v>
      </c>
      <c r="C18" s="35">
        <f>IF(A18="",0,IF(G17&lt;=0,0,MIN('Mortgage Setup'!B21,G17*(1+'Mortgage Setup'!B9/12))))</f>
        <v>1816.07</v>
      </c>
      <c r="D18" s="35">
        <f>IF(A18="",0,IF(G17&lt;=0,0,MIN(C18-E18,G17)))</f>
        <v>266.87</v>
      </c>
      <c r="E18" s="35">
        <f>IF(A18="",0,IF(G17&lt;=0,0,ROUND(G17*('Mortgage Setup'!B9/12),2)))</f>
        <v>1549.2</v>
      </c>
      <c r="F18" s="35">
        <f>IF(A18="",0,IF(G17&lt;=0,0,MIN('Mortgage Setup'!B12,MAX(G17-D18,0))))</f>
        <v>100</v>
      </c>
      <c r="G18" s="35">
        <f>IF(A18="",0,MAX(G17-D18-F18,0))</f>
        <v>275046.44</v>
      </c>
      <c r="H18" s="35">
        <f>IF(A18="",0,H17+E18)</f>
        <v>21871.420000000002</v>
      </c>
    </row>
    <row r="19" ht="26" customHeight="1" spans="1:8" x14ac:dyDescent="0.25">
      <c r="A19" s="30">
        <f>IF(G18&gt;0,15,"")</f>
        <v>15</v>
      </c>
      <c r="B19" s="31">
        <f>IF(A19="","",DATE(YEAR('Mortgage Setup'!B11),MONTH('Mortgage Setup'!B11)+14,DAY('Mortgage Setup'!B11)))</f>
        <v>46447</v>
      </c>
      <c r="C19" s="32">
        <f>IF(A19="",0,IF(G18&lt;=0,0,MIN('Mortgage Setup'!B21,G18*(1+'Mortgage Setup'!B9/12))))</f>
        <v>1816.07</v>
      </c>
      <c r="D19" s="32">
        <f>IF(A19="",0,IF(G18&lt;=0,0,MIN(C19-E19,G18)))</f>
        <v>268.93</v>
      </c>
      <c r="E19" s="32">
        <f>IF(A19="",0,IF(G18&lt;=0,0,ROUND(G18*('Mortgage Setup'!B9/12),2)))</f>
        <v>1547.14</v>
      </c>
      <c r="F19" s="32">
        <f>IF(A19="",0,IF(G18&lt;=0,0,MIN('Mortgage Setup'!B12,MAX(G18-D19,0))))</f>
        <v>100</v>
      </c>
      <c r="G19" s="32">
        <f>IF(A19="",0,MAX(G18-D19-F19,0))</f>
        <v>274677.51</v>
      </c>
      <c r="H19" s="32">
        <f>IF(A19="",0,H18+E19)</f>
        <v>23418.56</v>
      </c>
    </row>
    <row r="20" ht="26" customHeight="1" spans="1:8" x14ac:dyDescent="0.25">
      <c r="A20" s="33">
        <f>IF(G19&gt;0,16,"")</f>
        <v>16</v>
      </c>
      <c r="B20" s="34">
        <f>IF(A20="","",DATE(YEAR('Mortgage Setup'!B11),MONTH('Mortgage Setup'!B11)+15,DAY('Mortgage Setup'!B11)))</f>
        <v>46478</v>
      </c>
      <c r="C20" s="35">
        <f>IF(A20="",0,IF(G19&lt;=0,0,MIN('Mortgage Setup'!B21,G19*(1+'Mortgage Setup'!B9/12))))</f>
        <v>1816.07</v>
      </c>
      <c r="D20" s="35">
        <f>IF(A20="",0,IF(G19&lt;=0,0,MIN(C20-E20,G19)))</f>
        <v>271.01</v>
      </c>
      <c r="E20" s="35">
        <f>IF(A20="",0,IF(G19&lt;=0,0,ROUND(G19*('Mortgage Setup'!B9/12),2)))</f>
        <v>1545.06</v>
      </c>
      <c r="F20" s="35">
        <f>IF(A20="",0,IF(G19&lt;=0,0,MIN('Mortgage Setup'!B12,MAX(G19-D20,0))))</f>
        <v>100</v>
      </c>
      <c r="G20" s="35">
        <f>IF(A20="",0,MAX(G19-D20-F20,0))</f>
        <v>274306.5</v>
      </c>
      <c r="H20" s="35">
        <f>IF(A20="",0,H19+E20)</f>
        <v>24963.620000000003</v>
      </c>
    </row>
    <row r="21" ht="26" customHeight="1" spans="1:8" x14ac:dyDescent="0.25">
      <c r="A21" s="30">
        <f>IF(G20&gt;0,17,"")</f>
        <v>17</v>
      </c>
      <c r="B21" s="31">
        <f>IF(A21="","",DATE(YEAR('Mortgage Setup'!B11),MONTH('Mortgage Setup'!B11)+16,DAY('Mortgage Setup'!B11)))</f>
        <v>46508</v>
      </c>
      <c r="C21" s="32">
        <f>IF(A21="",0,IF(G20&lt;=0,0,MIN('Mortgage Setup'!B21,G20*(1+'Mortgage Setup'!B9/12))))</f>
        <v>1816.07</v>
      </c>
      <c r="D21" s="32">
        <f>IF(A21="",0,IF(G20&lt;=0,0,MIN(C21-E21,G20)))</f>
        <v>273.1</v>
      </c>
      <c r="E21" s="32">
        <f>IF(A21="",0,IF(G20&lt;=0,0,ROUND(G20*('Mortgage Setup'!B9/12),2)))</f>
        <v>1542.97</v>
      </c>
      <c r="F21" s="32">
        <f>IF(A21="",0,IF(G20&lt;=0,0,MIN('Mortgage Setup'!B12,MAX(G20-D21,0))))</f>
        <v>100</v>
      </c>
      <c r="G21" s="32">
        <f>IF(A21="",0,MAX(G20-D21-F21,0))</f>
        <v>273933.4</v>
      </c>
      <c r="H21" s="32">
        <f>IF(A21="",0,H20+E21)</f>
        <v>26506.590000000004</v>
      </c>
    </row>
    <row r="22" ht="26" customHeight="1" spans="1:8" x14ac:dyDescent="0.25">
      <c r="A22" s="33">
        <f>IF(G21&gt;0,18,"")</f>
        <v>18</v>
      </c>
      <c r="B22" s="34">
        <f>IF(A22="","",DATE(YEAR('Mortgage Setup'!B11),MONTH('Mortgage Setup'!B11)+17,DAY('Mortgage Setup'!B11)))</f>
        <v>46539</v>
      </c>
      <c r="C22" s="35">
        <f>IF(A22="",0,IF(G21&lt;=0,0,MIN('Mortgage Setup'!B21,G21*(1+'Mortgage Setup'!B9/12))))</f>
        <v>1816.07</v>
      </c>
      <c r="D22" s="35">
        <f>IF(A22="",0,IF(G21&lt;=0,0,MIN(C22-E22,G21)))</f>
        <v>275.19</v>
      </c>
      <c r="E22" s="35">
        <f>IF(A22="",0,IF(G21&lt;=0,0,ROUND(G21*('Mortgage Setup'!B9/12),2)))</f>
        <v>1540.88</v>
      </c>
      <c r="F22" s="35">
        <f>IF(A22="",0,IF(G21&lt;=0,0,MIN('Mortgage Setup'!B12,MAX(G21-D22,0))))</f>
        <v>100</v>
      </c>
      <c r="G22" s="35">
        <f>IF(A22="",0,MAX(G21-D22-F22,0))</f>
        <v>273558.21</v>
      </c>
      <c r="H22" s="35">
        <f>IF(A22="",0,H21+E22)</f>
        <v>28047.470000000005</v>
      </c>
    </row>
    <row r="23" ht="26" customHeight="1" spans="1:8" x14ac:dyDescent="0.25">
      <c r="A23" s="30">
        <f>IF(G22&gt;0,19,"")</f>
        <v>19</v>
      </c>
      <c r="B23" s="31">
        <f>IF(A23="","",DATE(YEAR('Mortgage Setup'!B11),MONTH('Mortgage Setup'!B11)+18,DAY('Mortgage Setup'!B11)))</f>
        <v>46569</v>
      </c>
      <c r="C23" s="32">
        <f>IF(A23="",0,IF(G22&lt;=0,0,MIN('Mortgage Setup'!B21,G22*(1+'Mortgage Setup'!B9/12))))</f>
        <v>1816.07</v>
      </c>
      <c r="D23" s="32">
        <f>IF(A23="",0,IF(G22&lt;=0,0,MIN(C23-E23,G22)))</f>
        <v>277.31</v>
      </c>
      <c r="E23" s="32">
        <f>IF(A23="",0,IF(G22&lt;=0,0,ROUND(G22*('Mortgage Setup'!B9/12),2)))</f>
        <v>1538.76</v>
      </c>
      <c r="F23" s="32">
        <f>IF(A23="",0,IF(G22&lt;=0,0,MIN('Mortgage Setup'!B12,MAX(G22-D23,0))))</f>
        <v>100</v>
      </c>
      <c r="G23" s="32">
        <f>IF(A23="",0,MAX(G22-D23-F23,0))</f>
        <v>273180.9</v>
      </c>
      <c r="H23" s="32">
        <f>IF(A23="",0,H22+E23)</f>
        <v>29586.230000000003</v>
      </c>
    </row>
    <row r="24" ht="26" customHeight="1" spans="1:8" x14ac:dyDescent="0.25">
      <c r="A24" s="33">
        <f>IF(G23&gt;0,20,"")</f>
        <v>20</v>
      </c>
      <c r="B24" s="34">
        <f>IF(A24="","",DATE(YEAR('Mortgage Setup'!B11),MONTH('Mortgage Setup'!B11)+19,DAY('Mortgage Setup'!B11)))</f>
        <v>46600</v>
      </c>
      <c r="C24" s="35">
        <f>IF(A24="",0,IF(G23&lt;=0,0,MIN('Mortgage Setup'!B21,G23*(1+'Mortgage Setup'!B9/12))))</f>
        <v>1816.07</v>
      </c>
      <c r="D24" s="35">
        <f>IF(A24="",0,IF(G23&lt;=0,0,MIN(C24-E24,G23)))</f>
        <v>279.43</v>
      </c>
      <c r="E24" s="35">
        <f>IF(A24="",0,IF(G23&lt;=0,0,ROUND(G23*('Mortgage Setup'!B9/12),2)))</f>
        <v>1536.64</v>
      </c>
      <c r="F24" s="35">
        <f>IF(A24="",0,IF(G23&lt;=0,0,MIN('Mortgage Setup'!B12,MAX(G23-D24,0))))</f>
        <v>100</v>
      </c>
      <c r="G24" s="35">
        <f>IF(A24="",0,MAX(G23-D24-F24,0))</f>
        <v>272801.47</v>
      </c>
      <c r="H24" s="35">
        <f>IF(A24="",0,H23+E24)</f>
        <v>31122.870000000003</v>
      </c>
    </row>
    <row r="25" ht="26" customHeight="1" spans="1:8" x14ac:dyDescent="0.25">
      <c r="A25" s="30">
        <f>IF(G24&gt;0,21,"")</f>
        <v>21</v>
      </c>
      <c r="B25" s="31">
        <f>IF(A25="","",DATE(YEAR('Mortgage Setup'!B11),MONTH('Mortgage Setup'!B11)+20,DAY('Mortgage Setup'!B11)))</f>
        <v>46631</v>
      </c>
      <c r="C25" s="32">
        <f>IF(A25="",0,IF(G24&lt;=0,0,MIN('Mortgage Setup'!B21,G24*(1+'Mortgage Setup'!B9/12))))</f>
        <v>1816.07</v>
      </c>
      <c r="D25" s="32">
        <f>IF(A25="",0,IF(G24&lt;=0,0,MIN(C25-E25,G24)))</f>
        <v>281.56</v>
      </c>
      <c r="E25" s="32">
        <f>IF(A25="",0,IF(G24&lt;=0,0,ROUND(G24*('Mortgage Setup'!B9/12),2)))</f>
        <v>1534.51</v>
      </c>
      <c r="F25" s="32">
        <f>IF(A25="",0,IF(G24&lt;=0,0,MIN('Mortgage Setup'!B12,MAX(G24-D25,0))))</f>
        <v>100</v>
      </c>
      <c r="G25" s="32">
        <f>IF(A25="",0,MAX(G24-D25-F25,0))</f>
        <v>272419.91</v>
      </c>
      <c r="H25" s="32">
        <f>IF(A25="",0,H24+E25)</f>
        <v>32657.38</v>
      </c>
    </row>
    <row r="26" ht="26" customHeight="1" spans="1:8" x14ac:dyDescent="0.25">
      <c r="A26" s="33">
        <f>IF(G25&gt;0,22,"")</f>
        <v>22</v>
      </c>
      <c r="B26" s="34">
        <f>IF(A26="","",DATE(YEAR('Mortgage Setup'!B11),MONTH('Mortgage Setup'!B11)+21,DAY('Mortgage Setup'!B11)))</f>
        <v>46661</v>
      </c>
      <c r="C26" s="35">
        <f>IF(A26="",0,IF(G25&lt;=0,0,MIN('Mortgage Setup'!B21,G25*(1+'Mortgage Setup'!B9/12))))</f>
        <v>1816.07</v>
      </c>
      <c r="D26" s="35">
        <f>IF(A26="",0,IF(G25&lt;=0,0,MIN(C26-E26,G25)))</f>
        <v>283.71</v>
      </c>
      <c r="E26" s="35">
        <f>IF(A26="",0,IF(G25&lt;=0,0,ROUND(G25*('Mortgage Setup'!B9/12),2)))</f>
        <v>1532.36</v>
      </c>
      <c r="F26" s="35">
        <f>IF(A26="",0,IF(G25&lt;=0,0,MIN('Mortgage Setup'!B12,MAX(G25-D26,0))))</f>
        <v>100</v>
      </c>
      <c r="G26" s="35">
        <f>IF(A26="",0,MAX(G25-D26-F26,0))</f>
        <v>272036.2</v>
      </c>
      <c r="H26" s="35">
        <f>IF(A26="",0,H25+E26)</f>
        <v>34189.74</v>
      </c>
    </row>
    <row r="27" ht="26" customHeight="1" spans="1:8" x14ac:dyDescent="0.25">
      <c r="A27" s="30">
        <f>IF(G26&gt;0,23,"")</f>
        <v>23</v>
      </c>
      <c r="B27" s="31">
        <f>IF(A27="","",DATE(YEAR('Mortgage Setup'!B11),MONTH('Mortgage Setup'!B11)+22,DAY('Mortgage Setup'!B11)))</f>
        <v>46692</v>
      </c>
      <c r="C27" s="32">
        <f>IF(A27="",0,IF(G26&lt;=0,0,MIN('Mortgage Setup'!B21,G26*(1+'Mortgage Setup'!B9/12))))</f>
        <v>1816.07</v>
      </c>
      <c r="D27" s="32">
        <f>IF(A27="",0,IF(G26&lt;=0,0,MIN(C27-E27,G26)))</f>
        <v>285.87</v>
      </c>
      <c r="E27" s="32">
        <f>IF(A27="",0,IF(G26&lt;=0,0,ROUND(G26*('Mortgage Setup'!B9/12),2)))</f>
        <v>1530.2</v>
      </c>
      <c r="F27" s="32">
        <f>IF(A27="",0,IF(G26&lt;=0,0,MIN('Mortgage Setup'!B12,MAX(G26-D27,0))))</f>
        <v>100</v>
      </c>
      <c r="G27" s="32">
        <f>IF(A27="",0,MAX(G26-D27-F27,0))</f>
        <v>271650.33</v>
      </c>
      <c r="H27" s="32">
        <f>IF(A27="",0,H26+E27)</f>
        <v>35719.939999999995</v>
      </c>
    </row>
    <row r="28" ht="26" customHeight="1" spans="1:8" x14ac:dyDescent="0.25">
      <c r="A28" s="33">
        <f>IF(G27&gt;0,24,"")</f>
        <v>24</v>
      </c>
      <c r="B28" s="34">
        <f>IF(A28="","",DATE(YEAR('Mortgage Setup'!B11),MONTH('Mortgage Setup'!B11)+23,DAY('Mortgage Setup'!B11)))</f>
        <v>46722</v>
      </c>
      <c r="C28" s="35">
        <f>IF(A28="",0,IF(G27&lt;=0,0,MIN('Mortgage Setup'!B21,G27*(1+'Mortgage Setup'!B9/12))))</f>
        <v>1816.07</v>
      </c>
      <c r="D28" s="35">
        <f>IF(A28="",0,IF(G27&lt;=0,0,MIN(C28-E28,G27)))</f>
        <v>288.04</v>
      </c>
      <c r="E28" s="35">
        <f>IF(A28="",0,IF(G27&lt;=0,0,ROUND(G27*('Mortgage Setup'!B9/12),2)))</f>
        <v>1528.03</v>
      </c>
      <c r="F28" s="35">
        <f>IF(A28="",0,IF(G27&lt;=0,0,MIN('Mortgage Setup'!B12,MAX(G27-D28,0))))</f>
        <v>100</v>
      </c>
      <c r="G28" s="35">
        <f>IF(A28="",0,MAX(G27-D28-F28,0))</f>
        <v>271262.29</v>
      </c>
      <c r="H28" s="35">
        <f>IF(A28="",0,H27+E28)</f>
        <v>37247.969999999994</v>
      </c>
    </row>
    <row r="29" ht="26" customHeight="1" spans="1:8" x14ac:dyDescent="0.25">
      <c r="A29" s="30">
        <f>IF(G28&gt;0,25,"")</f>
        <v>25</v>
      </c>
      <c r="B29" s="31">
        <f>IF(A29="","",DATE(YEAR('Mortgage Setup'!B11),MONTH('Mortgage Setup'!B11)+24,DAY('Mortgage Setup'!B11)))</f>
        <v>46753</v>
      </c>
      <c r="C29" s="32">
        <f>IF(A29="",0,IF(G28&lt;=0,0,MIN('Mortgage Setup'!B21,G28*(1+'Mortgage Setup'!B9/12))))</f>
        <v>1816.07</v>
      </c>
      <c r="D29" s="32">
        <f>IF(A29="",0,IF(G28&lt;=0,0,MIN(C29-E29,G28)))</f>
        <v>290.22</v>
      </c>
      <c r="E29" s="32">
        <f>IF(A29="",0,IF(G28&lt;=0,0,ROUND(G28*('Mortgage Setup'!B9/12),2)))</f>
        <v>1525.85</v>
      </c>
      <c r="F29" s="32">
        <f>IF(A29="",0,IF(G28&lt;=0,0,MIN('Mortgage Setup'!B12,MAX(G28-D29,0))))</f>
        <v>100</v>
      </c>
      <c r="G29" s="32">
        <f>IF(A29="",0,MAX(G28-D29-F29,0))</f>
        <v>270872.07</v>
      </c>
      <c r="H29" s="32">
        <f>IF(A29="",0,H28+E29)</f>
        <v>38773.81999999999</v>
      </c>
    </row>
    <row r="30" ht="26" customHeight="1" spans="1:8" x14ac:dyDescent="0.25">
      <c r="A30" s="33">
        <f>IF(G29&gt;0,26,"")</f>
        <v>26</v>
      </c>
      <c r="B30" s="34">
        <f>IF(A30="","",DATE(YEAR('Mortgage Setup'!B11),MONTH('Mortgage Setup'!B11)+25,DAY('Mortgage Setup'!B11)))</f>
        <v>46784</v>
      </c>
      <c r="C30" s="35">
        <f>IF(A30="",0,IF(G29&lt;=0,0,MIN('Mortgage Setup'!B21,G29*(1+'Mortgage Setup'!B9/12))))</f>
        <v>1816.07</v>
      </c>
      <c r="D30" s="35">
        <f>IF(A30="",0,IF(G29&lt;=0,0,MIN(C30-E30,G29)))</f>
        <v>292.41</v>
      </c>
      <c r="E30" s="35">
        <f>IF(A30="",0,IF(G29&lt;=0,0,ROUND(G29*('Mortgage Setup'!B9/12),2)))</f>
        <v>1523.66</v>
      </c>
      <c r="F30" s="35">
        <f>IF(A30="",0,IF(G29&lt;=0,0,MIN('Mortgage Setup'!B12,MAX(G29-D30,0))))</f>
        <v>100</v>
      </c>
      <c r="G30" s="35">
        <f>IF(A30="",0,MAX(G29-D30-F30,0))</f>
        <v>270479.66</v>
      </c>
      <c r="H30" s="35">
        <f>IF(A30="",0,H29+E30)</f>
        <v>40297.479999999996</v>
      </c>
    </row>
    <row r="31" ht="26" customHeight="1" spans="1:8" x14ac:dyDescent="0.25">
      <c r="A31" s="30">
        <f>IF(G30&gt;0,27,"")</f>
        <v>27</v>
      </c>
      <c r="B31" s="31">
        <f>IF(A31="","",DATE(YEAR('Mortgage Setup'!B11),MONTH('Mortgage Setup'!B11)+26,DAY('Mortgage Setup'!B11)))</f>
        <v>46813</v>
      </c>
      <c r="C31" s="32">
        <f>IF(A31="",0,IF(G30&lt;=0,0,MIN('Mortgage Setup'!B21,G30*(1+'Mortgage Setup'!B9/12))))</f>
        <v>1816.07</v>
      </c>
      <c r="D31" s="32">
        <f>IF(A31="",0,IF(G30&lt;=0,0,MIN(C31-E31,G30)))</f>
        <v>294.62</v>
      </c>
      <c r="E31" s="32">
        <f>IF(A31="",0,IF(G30&lt;=0,0,ROUND(G30*('Mortgage Setup'!B9/12),2)))</f>
        <v>1521.45</v>
      </c>
      <c r="F31" s="32">
        <f>IF(A31="",0,IF(G30&lt;=0,0,MIN('Mortgage Setup'!B12,MAX(G30-D31,0))))</f>
        <v>100</v>
      </c>
      <c r="G31" s="32">
        <f>IF(A31="",0,MAX(G30-D31-F31,0))</f>
        <v>270085.04</v>
      </c>
      <c r="H31" s="32">
        <f>IF(A31="",0,H30+E31)</f>
        <v>41818.92999999999</v>
      </c>
    </row>
    <row r="32" ht="26" customHeight="1" spans="1:8" x14ac:dyDescent="0.25">
      <c r="A32" s="33">
        <f>IF(G31&gt;0,28,"")</f>
        <v>28</v>
      </c>
      <c r="B32" s="34">
        <f>IF(A32="","",DATE(YEAR('Mortgage Setup'!B11),MONTH('Mortgage Setup'!B11)+27,DAY('Mortgage Setup'!B11)))</f>
        <v>46844</v>
      </c>
      <c r="C32" s="35">
        <f>IF(A32="",0,IF(G31&lt;=0,0,MIN('Mortgage Setup'!B21,G31*(1+'Mortgage Setup'!B9/12))))</f>
        <v>1816.07</v>
      </c>
      <c r="D32" s="35">
        <f>IF(A32="",0,IF(G31&lt;=0,0,MIN(C32-E32,G31)))</f>
        <v>296.84</v>
      </c>
      <c r="E32" s="35">
        <f>IF(A32="",0,IF(G31&lt;=0,0,ROUND(G31*('Mortgage Setup'!B9/12),2)))</f>
        <v>1519.23</v>
      </c>
      <c r="F32" s="35">
        <f>IF(A32="",0,IF(G31&lt;=0,0,MIN('Mortgage Setup'!B12,MAX(G31-D32,0))))</f>
        <v>100</v>
      </c>
      <c r="G32" s="35">
        <f>IF(A32="",0,MAX(G31-D32-F32,0))</f>
        <v>269688.2</v>
      </c>
      <c r="H32" s="35">
        <f>IF(A32="",0,H31+E32)</f>
        <v>43338.159999999996</v>
      </c>
    </row>
    <row r="33" ht="26" customHeight="1" spans="1:8" x14ac:dyDescent="0.25">
      <c r="A33" s="30">
        <f>IF(G32&gt;0,29,"")</f>
        <v>29</v>
      </c>
      <c r="B33" s="31">
        <f>IF(A33="","",DATE(YEAR('Mortgage Setup'!B11),MONTH('Mortgage Setup'!B11)+28,DAY('Mortgage Setup'!B11)))</f>
        <v>46874</v>
      </c>
      <c r="C33" s="32">
        <f>IF(A33="",0,IF(G32&lt;=0,0,MIN('Mortgage Setup'!B21,G32*(1+'Mortgage Setup'!B9/12))))</f>
        <v>1816.07</v>
      </c>
      <c r="D33" s="32">
        <f>IF(A33="",0,IF(G32&lt;=0,0,MIN(C33-E33,G32)))</f>
        <v>299.07</v>
      </c>
      <c r="E33" s="32">
        <f>IF(A33="",0,IF(G32&lt;=0,0,ROUND(G32*('Mortgage Setup'!B9/12),2)))</f>
        <v>1517</v>
      </c>
      <c r="F33" s="32">
        <f>IF(A33="",0,IF(G32&lt;=0,0,MIN('Mortgage Setup'!B12,MAX(G32-D33,0))))</f>
        <v>100</v>
      </c>
      <c r="G33" s="32">
        <f>IF(A33="",0,MAX(G32-D33-F33,0))</f>
        <v>269289.13</v>
      </c>
      <c r="H33" s="32">
        <f>IF(A33="",0,H32+E33)</f>
        <v>44855.159999999996</v>
      </c>
    </row>
    <row r="34" ht="26" customHeight="1" spans="1:8" x14ac:dyDescent="0.25">
      <c r="A34" s="33">
        <f>IF(G33&gt;0,30,"")</f>
        <v>30</v>
      </c>
      <c r="B34" s="34">
        <f>IF(A34="","",DATE(YEAR('Mortgage Setup'!B11),MONTH('Mortgage Setup'!B11)+29,DAY('Mortgage Setup'!B11)))</f>
        <v>46905</v>
      </c>
      <c r="C34" s="35">
        <f>IF(A34="",0,IF(G33&lt;=0,0,MIN('Mortgage Setup'!B21,G33*(1+'Mortgage Setup'!B9/12))))</f>
        <v>1816.07</v>
      </c>
      <c r="D34" s="35">
        <f>IF(A34="",0,IF(G33&lt;=0,0,MIN(C34-E34,G33)))</f>
        <v>301.32</v>
      </c>
      <c r="E34" s="35">
        <f>IF(A34="",0,IF(G33&lt;=0,0,ROUND(G33*('Mortgage Setup'!B9/12),2)))</f>
        <v>1514.75</v>
      </c>
      <c r="F34" s="35">
        <f>IF(A34="",0,IF(G33&lt;=0,0,MIN('Mortgage Setup'!B12,MAX(G33-D34,0))))</f>
        <v>100</v>
      </c>
      <c r="G34" s="35">
        <f>IF(A34="",0,MAX(G33-D34-F34,0))</f>
        <v>268887.81</v>
      </c>
      <c r="H34" s="35">
        <f>IF(A34="",0,H33+E34)</f>
        <v>46369.909999999996</v>
      </c>
    </row>
    <row r="35" ht="26" customHeight="1" spans="1:8" x14ac:dyDescent="0.25">
      <c r="A35" s="30">
        <f>IF(G34&gt;0,31,"")</f>
        <v>31</v>
      </c>
      <c r="B35" s="31">
        <f>IF(A35="","",DATE(YEAR('Mortgage Setup'!B11),MONTH('Mortgage Setup'!B11)+30,DAY('Mortgage Setup'!B11)))</f>
        <v>46935</v>
      </c>
      <c r="C35" s="32">
        <f>IF(A35="",0,IF(G34&lt;=0,0,MIN('Mortgage Setup'!B21,G34*(1+'Mortgage Setup'!B9/12))))</f>
        <v>1816.07</v>
      </c>
      <c r="D35" s="32">
        <f>IF(A35="",0,IF(G34&lt;=0,0,MIN(C35-E35,G34)))</f>
        <v>303.58</v>
      </c>
      <c r="E35" s="32">
        <f>IF(A35="",0,IF(G34&lt;=0,0,ROUND(G34*('Mortgage Setup'!B9/12),2)))</f>
        <v>1512.49</v>
      </c>
      <c r="F35" s="32">
        <f>IF(A35="",0,IF(G34&lt;=0,0,MIN('Mortgage Setup'!B12,MAX(G34-D35,0))))</f>
        <v>100</v>
      </c>
      <c r="G35" s="32">
        <f>IF(A35="",0,MAX(G34-D35-F35,0))</f>
        <v>268484.23</v>
      </c>
      <c r="H35" s="32">
        <f>IF(A35="",0,H34+E35)</f>
        <v>47882.399999999994</v>
      </c>
    </row>
    <row r="36" ht="26" customHeight="1" spans="1:8" x14ac:dyDescent="0.25">
      <c r="A36" s="33">
        <f>IF(G35&gt;0,32,"")</f>
        <v>32</v>
      </c>
      <c r="B36" s="34">
        <f>IF(A36="","",DATE(YEAR('Mortgage Setup'!B11),MONTH('Mortgage Setup'!B11)+31,DAY('Mortgage Setup'!B11)))</f>
        <v>46966</v>
      </c>
      <c r="C36" s="35">
        <f>IF(A36="",0,IF(G35&lt;=0,0,MIN('Mortgage Setup'!B21,G35*(1+'Mortgage Setup'!B9/12))))</f>
        <v>1816.07</v>
      </c>
      <c r="D36" s="35">
        <f>IF(A36="",0,IF(G35&lt;=0,0,MIN(C36-E36,G35)))</f>
        <v>305.85</v>
      </c>
      <c r="E36" s="35">
        <f>IF(A36="",0,IF(G35&lt;=0,0,ROUND(G35*('Mortgage Setup'!B9/12),2)))</f>
        <v>1510.22</v>
      </c>
      <c r="F36" s="35">
        <f>IF(A36="",0,IF(G35&lt;=0,0,MIN('Mortgage Setup'!B12,MAX(G35-D36,0))))</f>
        <v>100</v>
      </c>
      <c r="G36" s="35">
        <f>IF(A36="",0,MAX(G35-D36-F36,0))</f>
        <v>268078.38</v>
      </c>
      <c r="H36" s="35">
        <f>IF(A36="",0,H35+E36)</f>
        <v>49392.619999999995</v>
      </c>
    </row>
    <row r="37" ht="26" customHeight="1" spans="1:8" x14ac:dyDescent="0.25">
      <c r="A37" s="30">
        <f>IF(G36&gt;0,33,"")</f>
        <v>33</v>
      </c>
      <c r="B37" s="31">
        <f>IF(A37="","",DATE(YEAR('Mortgage Setup'!B11),MONTH('Mortgage Setup'!B11)+32,DAY('Mortgage Setup'!B11)))</f>
        <v>46997</v>
      </c>
      <c r="C37" s="32">
        <f>IF(A37="",0,IF(G36&lt;=0,0,MIN('Mortgage Setup'!B21,G36*(1+'Mortgage Setup'!B9/12))))</f>
        <v>1816.07</v>
      </c>
      <c r="D37" s="32">
        <f>IF(A37="",0,IF(G36&lt;=0,0,MIN(C37-E37,G36)))</f>
        <v>308.13</v>
      </c>
      <c r="E37" s="32">
        <f>IF(A37="",0,IF(G36&lt;=0,0,ROUND(G36*('Mortgage Setup'!B9/12),2)))</f>
        <v>1507.94</v>
      </c>
      <c r="F37" s="32">
        <f>IF(A37="",0,IF(G36&lt;=0,0,MIN('Mortgage Setup'!B12,MAX(G36-D37,0))))</f>
        <v>100</v>
      </c>
      <c r="G37" s="32">
        <f>IF(A37="",0,MAX(G36-D37-F37,0))</f>
        <v>267670.25</v>
      </c>
      <c r="H37" s="32">
        <f>IF(A37="",0,H36+E37)</f>
        <v>50900.56</v>
      </c>
    </row>
    <row r="38" ht="26" customHeight="1" spans="1:8" x14ac:dyDescent="0.25">
      <c r="A38" s="33">
        <f>IF(G37&gt;0,34,"")</f>
        <v>34</v>
      </c>
      <c r="B38" s="34">
        <f>IF(A38="","",DATE(YEAR('Mortgage Setup'!B11),MONTH('Mortgage Setup'!B11)+33,DAY('Mortgage Setup'!B11)))</f>
        <v>47027</v>
      </c>
      <c r="C38" s="35">
        <f>IF(A38="",0,IF(G37&lt;=0,0,MIN('Mortgage Setup'!B21,G37*(1+'Mortgage Setup'!B9/12))))</f>
        <v>1816.07</v>
      </c>
      <c r="D38" s="35">
        <f>IF(A38="",0,IF(G37&lt;=0,0,MIN(C38-E38,G37)))</f>
        <v>310.42</v>
      </c>
      <c r="E38" s="35">
        <f>IF(A38="",0,IF(G37&lt;=0,0,ROUND(G37*('Mortgage Setup'!B9/12),2)))</f>
        <v>1505.65</v>
      </c>
      <c r="F38" s="35">
        <f>IF(A38="",0,IF(G37&lt;=0,0,MIN('Mortgage Setup'!B12,MAX(G37-D38,0))))</f>
        <v>100</v>
      </c>
      <c r="G38" s="35">
        <f>IF(A38="",0,MAX(G37-D38-F38,0))</f>
        <v>267259.83</v>
      </c>
      <c r="H38" s="35">
        <f>IF(A38="",0,H37+E38)</f>
        <v>52406.21</v>
      </c>
    </row>
    <row r="39" ht="26" customHeight="1" spans="1:8" x14ac:dyDescent="0.25">
      <c r="A39" s="30">
        <f>IF(G38&gt;0,35,"")</f>
        <v>35</v>
      </c>
      <c r="B39" s="31">
        <f>IF(A39="","",DATE(YEAR('Mortgage Setup'!B11),MONTH('Mortgage Setup'!B11)+34,DAY('Mortgage Setup'!B11)))</f>
        <v>47058</v>
      </c>
      <c r="C39" s="32">
        <f>IF(A39="",0,IF(G38&lt;=0,0,MIN('Mortgage Setup'!B21,G38*(1+'Mortgage Setup'!B9/12))))</f>
        <v>1816.07</v>
      </c>
      <c r="D39" s="32">
        <f>IF(A39="",0,IF(G38&lt;=0,0,MIN(C39-E39,G38)))</f>
        <v>312.73</v>
      </c>
      <c r="E39" s="32">
        <f>IF(A39="",0,IF(G38&lt;=0,0,ROUND(G38*('Mortgage Setup'!B9/12),2)))</f>
        <v>1503.34</v>
      </c>
      <c r="F39" s="32">
        <f>IF(A39="",0,IF(G38&lt;=0,0,MIN('Mortgage Setup'!B12,MAX(G38-D39,0))))</f>
        <v>100</v>
      </c>
      <c r="G39" s="32">
        <f>IF(A39="",0,MAX(G38-D39-F39,0))</f>
        <v>266847.1</v>
      </c>
      <c r="H39" s="32">
        <f>IF(A39="",0,H38+E39)</f>
        <v>53909.549999999996</v>
      </c>
    </row>
    <row r="40" ht="26" customHeight="1" spans="1:8" x14ac:dyDescent="0.25">
      <c r="A40" s="33">
        <f>IF(G39&gt;0,36,"")</f>
        <v>36</v>
      </c>
      <c r="B40" s="34">
        <f>IF(A40="","",DATE(YEAR('Mortgage Setup'!B11),MONTH('Mortgage Setup'!B11)+35,DAY('Mortgage Setup'!B11)))</f>
        <v>47088</v>
      </c>
      <c r="C40" s="35">
        <f>IF(A40="",0,IF(G39&lt;=0,0,MIN('Mortgage Setup'!B21,G39*(1+'Mortgage Setup'!B9/12))))</f>
        <v>1816.07</v>
      </c>
      <c r="D40" s="35">
        <f>IF(A40="",0,IF(G39&lt;=0,0,MIN(C40-E40,G39)))</f>
        <v>315.06</v>
      </c>
      <c r="E40" s="35">
        <f>IF(A40="",0,IF(G39&lt;=0,0,ROUND(G39*('Mortgage Setup'!B9/12),2)))</f>
        <v>1501.01</v>
      </c>
      <c r="F40" s="35">
        <f>IF(A40="",0,IF(G39&lt;=0,0,MIN('Mortgage Setup'!B12,MAX(G39-D40,0))))</f>
        <v>100</v>
      </c>
      <c r="G40" s="35">
        <f>IF(A40="",0,MAX(G39-D40-F40,0))</f>
        <v>266432.04</v>
      </c>
      <c r="H40" s="35">
        <f>IF(A40="",0,H39+E40)</f>
        <v>55410.56</v>
      </c>
    </row>
    <row r="41" ht="26" customHeight="1" spans="1:8" x14ac:dyDescent="0.25">
      <c r="A41" s="30">
        <f>IF(G40&gt;0,37,"")</f>
        <v>37</v>
      </c>
      <c r="B41" s="31">
        <f>IF(A41="","",DATE(YEAR('Mortgage Setup'!B11),MONTH('Mortgage Setup'!B11)+36,DAY('Mortgage Setup'!B11)))</f>
        <v>47119</v>
      </c>
      <c r="C41" s="32">
        <f>IF(A41="",0,IF(G40&lt;=0,0,MIN('Mortgage Setup'!B21,G40*(1+'Mortgage Setup'!B9/12))))</f>
        <v>1816.07</v>
      </c>
      <c r="D41" s="32">
        <f>IF(A41="",0,IF(G40&lt;=0,0,MIN(C41-E41,G40)))</f>
        <v>317.39</v>
      </c>
      <c r="E41" s="32">
        <f>IF(A41="",0,IF(G40&lt;=0,0,ROUND(G40*('Mortgage Setup'!B9/12),2)))</f>
        <v>1498.68</v>
      </c>
      <c r="F41" s="32">
        <f>IF(A41="",0,IF(G40&lt;=0,0,MIN('Mortgage Setup'!B12,MAX(G40-D41,0))))</f>
        <v>100</v>
      </c>
      <c r="G41" s="32">
        <f>IF(A41="",0,MAX(G40-D41-F41,0))</f>
        <v>266014.65</v>
      </c>
      <c r="H41" s="32">
        <f>IF(A41="",0,H40+E41)</f>
        <v>56909.24</v>
      </c>
    </row>
    <row r="42" ht="26" customHeight="1" spans="1:8" x14ac:dyDescent="0.25">
      <c r="A42" s="33">
        <f>IF(G41&gt;0,38,"")</f>
        <v>38</v>
      </c>
      <c r="B42" s="34">
        <f>IF(A42="","",DATE(YEAR('Mortgage Setup'!B11),MONTH('Mortgage Setup'!B11)+37,DAY('Mortgage Setup'!B11)))</f>
        <v>47150</v>
      </c>
      <c r="C42" s="35">
        <f>IF(A42="",0,IF(G41&lt;=0,0,MIN('Mortgage Setup'!B21,G41*(1+'Mortgage Setup'!B9/12))))</f>
        <v>1816.07</v>
      </c>
      <c r="D42" s="35">
        <f>IF(A42="",0,IF(G41&lt;=0,0,MIN(C42-E42,G41)))</f>
        <v>319.74</v>
      </c>
      <c r="E42" s="35">
        <f>IF(A42="",0,IF(G41&lt;=0,0,ROUND(G41*('Mortgage Setup'!B9/12),2)))</f>
        <v>1496.33</v>
      </c>
      <c r="F42" s="35">
        <f>IF(A42="",0,IF(G41&lt;=0,0,MIN('Mortgage Setup'!B12,MAX(G41-D42,0))))</f>
        <v>100</v>
      </c>
      <c r="G42" s="35">
        <f>IF(A42="",0,MAX(G41-D42-F42,0))</f>
        <v>265594.91</v>
      </c>
      <c r="H42" s="35">
        <f>IF(A42="",0,H41+E42)</f>
        <v>58405.57</v>
      </c>
    </row>
    <row r="43" ht="26" customHeight="1" spans="1:8" x14ac:dyDescent="0.25">
      <c r="A43" s="30">
        <f>IF(G42&gt;0,39,"")</f>
        <v>39</v>
      </c>
      <c r="B43" s="31">
        <f>IF(A43="","",DATE(YEAR('Mortgage Setup'!B11),MONTH('Mortgage Setup'!B11)+38,DAY('Mortgage Setup'!B11)))</f>
        <v>47178</v>
      </c>
      <c r="C43" s="32">
        <f>IF(A43="",0,IF(G42&lt;=0,0,MIN('Mortgage Setup'!B21,G42*(1+'Mortgage Setup'!B9/12))))</f>
        <v>1816.07</v>
      </c>
      <c r="D43" s="32">
        <f>IF(A43="",0,IF(G42&lt;=0,0,MIN(C43-E43,G42)))</f>
        <v>322.1</v>
      </c>
      <c r="E43" s="32">
        <f>IF(A43="",0,IF(G42&lt;=0,0,ROUND(G42*('Mortgage Setup'!B9/12),2)))</f>
        <v>1493.97</v>
      </c>
      <c r="F43" s="32">
        <f>IF(A43="",0,IF(G42&lt;=0,0,MIN('Mortgage Setup'!B12,MAX(G42-D43,0))))</f>
        <v>100</v>
      </c>
      <c r="G43" s="32">
        <f>IF(A43="",0,MAX(G42-D43-F43,0))</f>
        <v>265172.81</v>
      </c>
      <c r="H43" s="32">
        <f>IF(A43="",0,H42+E43)</f>
        <v>59899.54</v>
      </c>
    </row>
    <row r="44" ht="26" customHeight="1" spans="1:8" x14ac:dyDescent="0.25">
      <c r="A44" s="33">
        <f>IF(G43&gt;0,40,"")</f>
        <v>40</v>
      </c>
      <c r="B44" s="34">
        <f>IF(A44="","",DATE(YEAR('Mortgage Setup'!B11),MONTH('Mortgage Setup'!B11)+39,DAY('Mortgage Setup'!B11)))</f>
        <v>47209</v>
      </c>
      <c r="C44" s="35">
        <f>IF(A44="",0,IF(G43&lt;=0,0,MIN('Mortgage Setup'!B21,G43*(1+'Mortgage Setup'!B9/12))))</f>
        <v>1816.07</v>
      </c>
      <c r="D44" s="35">
        <f>IF(A44="",0,IF(G43&lt;=0,0,MIN(C44-E44,G43)))</f>
        <v>324.47</v>
      </c>
      <c r="E44" s="35">
        <f>IF(A44="",0,IF(G43&lt;=0,0,ROUND(G43*('Mortgage Setup'!B9/12),2)))</f>
        <v>1491.6</v>
      </c>
      <c r="F44" s="35">
        <f>IF(A44="",0,IF(G43&lt;=0,0,MIN('Mortgage Setup'!B12,MAX(G43-D44,0))))</f>
        <v>100</v>
      </c>
      <c r="G44" s="35">
        <f>IF(A44="",0,MAX(G43-D44-F44,0))</f>
        <v>264748.34</v>
      </c>
      <c r="H44" s="35">
        <f>IF(A44="",0,H43+E44)</f>
        <v>61391.14</v>
      </c>
    </row>
    <row r="45" ht="26" customHeight="1" spans="1:8" x14ac:dyDescent="0.25">
      <c r="A45" s="30">
        <f>IF(G44&gt;0,41,"")</f>
        <v>41</v>
      </c>
      <c r="B45" s="31">
        <f>IF(A45="","",DATE(YEAR('Mortgage Setup'!B11),MONTH('Mortgage Setup'!B11)+40,DAY('Mortgage Setup'!B11)))</f>
        <v>47239</v>
      </c>
      <c r="C45" s="32">
        <f>IF(A45="",0,IF(G44&lt;=0,0,MIN('Mortgage Setup'!B21,G44*(1+'Mortgage Setup'!B9/12))))</f>
        <v>1816.07</v>
      </c>
      <c r="D45" s="32">
        <f>IF(A45="",0,IF(G44&lt;=0,0,MIN(C45-E45,G44)))</f>
        <v>326.86</v>
      </c>
      <c r="E45" s="32">
        <f>IF(A45="",0,IF(G44&lt;=0,0,ROUND(G44*('Mortgage Setup'!B9/12),2)))</f>
        <v>1489.21</v>
      </c>
      <c r="F45" s="32">
        <f>IF(A45="",0,IF(G44&lt;=0,0,MIN('Mortgage Setup'!B12,MAX(G44-D45,0))))</f>
        <v>100</v>
      </c>
      <c r="G45" s="32">
        <f>IF(A45="",0,MAX(G44-D45-F45,0))</f>
        <v>264321.48</v>
      </c>
      <c r="H45" s="32">
        <f>IF(A45="",0,H44+E45)</f>
        <v>62880.35</v>
      </c>
    </row>
    <row r="46" ht="26" customHeight="1" spans="1:8" x14ac:dyDescent="0.25">
      <c r="A46" s="33">
        <f>IF(G45&gt;0,42,"")</f>
        <v>42</v>
      </c>
      <c r="B46" s="34">
        <f>IF(A46="","",DATE(YEAR('Mortgage Setup'!B11),MONTH('Mortgage Setup'!B11)+41,DAY('Mortgage Setup'!B11)))</f>
        <v>47270</v>
      </c>
      <c r="C46" s="35">
        <f>IF(A46="",0,IF(G45&lt;=0,0,MIN('Mortgage Setup'!B21,G45*(1+'Mortgage Setup'!B9/12))))</f>
        <v>1816.07</v>
      </c>
      <c r="D46" s="35">
        <f>IF(A46="",0,IF(G45&lt;=0,0,MIN(C46-E46,G45)))</f>
        <v>329.26</v>
      </c>
      <c r="E46" s="35">
        <f>IF(A46="",0,IF(G45&lt;=0,0,ROUND(G45*('Mortgage Setup'!B9/12),2)))</f>
        <v>1486.81</v>
      </c>
      <c r="F46" s="35">
        <f>IF(A46="",0,IF(G45&lt;=0,0,MIN('Mortgage Setup'!B12,MAX(G45-D46,0))))</f>
        <v>100</v>
      </c>
      <c r="G46" s="35">
        <f>IF(A46="",0,MAX(G45-D46-F46,0))</f>
        <v>263892.22</v>
      </c>
      <c r="H46" s="35">
        <f>IF(A46="",0,H45+E46)</f>
        <v>64367.159999999996</v>
      </c>
    </row>
    <row r="47" ht="26" customHeight="1" spans="1:8" x14ac:dyDescent="0.25">
      <c r="A47" s="30">
        <f>IF(G46&gt;0,43,"")</f>
        <v>43</v>
      </c>
      <c r="B47" s="31">
        <f>IF(A47="","",DATE(YEAR('Mortgage Setup'!B11),MONTH('Mortgage Setup'!B11)+42,DAY('Mortgage Setup'!B11)))</f>
        <v>47300</v>
      </c>
      <c r="C47" s="32">
        <f>IF(A47="",0,IF(G46&lt;=0,0,MIN('Mortgage Setup'!B21,G46*(1+'Mortgage Setup'!B9/12))))</f>
        <v>1816.07</v>
      </c>
      <c r="D47" s="32">
        <f>IF(A47="",0,IF(G46&lt;=0,0,MIN(C47-E47,G46)))</f>
        <v>331.68</v>
      </c>
      <c r="E47" s="32">
        <f>IF(A47="",0,IF(G46&lt;=0,0,ROUND(G46*('Mortgage Setup'!B9/12),2)))</f>
        <v>1484.39</v>
      </c>
      <c r="F47" s="32">
        <f>IF(A47="",0,IF(G46&lt;=0,0,MIN('Mortgage Setup'!B12,MAX(G46-D47,0))))</f>
        <v>100</v>
      </c>
      <c r="G47" s="32">
        <f>IF(A47="",0,MAX(G46-D47-F47,0))</f>
        <v>263460.54</v>
      </c>
      <c r="H47" s="32">
        <f>IF(A47="",0,H46+E47)</f>
        <v>65851.55</v>
      </c>
    </row>
    <row r="48" ht="26" customHeight="1" spans="1:8" x14ac:dyDescent="0.25">
      <c r="A48" s="33">
        <f>IF(G47&gt;0,44,"")</f>
        <v>44</v>
      </c>
      <c r="B48" s="34">
        <f>IF(A48="","",DATE(YEAR('Mortgage Setup'!B11),MONTH('Mortgage Setup'!B11)+43,DAY('Mortgage Setup'!B11)))</f>
        <v>47331</v>
      </c>
      <c r="C48" s="35">
        <f>IF(A48="",0,IF(G47&lt;=0,0,MIN('Mortgage Setup'!B21,G47*(1+'Mortgage Setup'!B9/12))))</f>
        <v>1816.07</v>
      </c>
      <c r="D48" s="35">
        <f>IF(A48="",0,IF(G47&lt;=0,0,MIN(C48-E48,G47)))</f>
        <v>334.1</v>
      </c>
      <c r="E48" s="35">
        <f>IF(A48="",0,IF(G47&lt;=0,0,ROUND(G47*('Mortgage Setup'!B9/12),2)))</f>
        <v>1481.97</v>
      </c>
      <c r="F48" s="35">
        <f>IF(A48="",0,IF(G47&lt;=0,0,MIN('Mortgage Setup'!B12,MAX(G47-D48,0))))</f>
        <v>100</v>
      </c>
      <c r="G48" s="35">
        <f>IF(A48="",0,MAX(G47-D48-F48,0))</f>
        <v>263026.44</v>
      </c>
      <c r="H48" s="35">
        <f>IF(A48="",0,H47+E48)</f>
        <v>67333.52</v>
      </c>
    </row>
    <row r="49" ht="26" customHeight="1" spans="1:8" x14ac:dyDescent="0.25">
      <c r="A49" s="30">
        <f>IF(G48&gt;0,45,"")</f>
        <v>45</v>
      </c>
      <c r="B49" s="31">
        <f>IF(A49="","",DATE(YEAR('Mortgage Setup'!B11),MONTH('Mortgage Setup'!B11)+44,DAY('Mortgage Setup'!B11)))</f>
        <v>47362</v>
      </c>
      <c r="C49" s="32">
        <f>IF(A49="",0,IF(G48&lt;=0,0,MIN('Mortgage Setup'!B21,G48*(1+'Mortgage Setup'!B9/12))))</f>
        <v>1816.07</v>
      </c>
      <c r="D49" s="32">
        <f>IF(A49="",0,IF(G48&lt;=0,0,MIN(C49-E49,G48)))</f>
        <v>336.55</v>
      </c>
      <c r="E49" s="32">
        <f>IF(A49="",0,IF(G48&lt;=0,0,ROUND(G48*('Mortgage Setup'!B9/12),2)))</f>
        <v>1479.52</v>
      </c>
      <c r="F49" s="32">
        <f>IF(A49="",0,IF(G48&lt;=0,0,MIN('Mortgage Setup'!B12,MAX(G48-D49,0))))</f>
        <v>100</v>
      </c>
      <c r="G49" s="32">
        <f>IF(A49="",0,MAX(G48-D49-F49,0))</f>
        <v>262589.89</v>
      </c>
      <c r="H49" s="32">
        <f>IF(A49="",0,H48+E49)</f>
        <v>68813.04000000001</v>
      </c>
    </row>
    <row r="50" ht="26" customHeight="1" spans="1:8" x14ac:dyDescent="0.25">
      <c r="A50" s="33">
        <f>IF(G49&gt;0,46,"")</f>
        <v>46</v>
      </c>
      <c r="B50" s="34">
        <f>IF(A50="","",DATE(YEAR('Mortgage Setup'!B11),MONTH('Mortgage Setup'!B11)+45,DAY('Mortgage Setup'!B11)))</f>
        <v>47392</v>
      </c>
      <c r="C50" s="35">
        <f>IF(A50="",0,IF(G49&lt;=0,0,MIN('Mortgage Setup'!B21,G49*(1+'Mortgage Setup'!B9/12))))</f>
        <v>1816.07</v>
      </c>
      <c r="D50" s="35">
        <f>IF(A50="",0,IF(G49&lt;=0,0,MIN(C50-E50,G49)))</f>
        <v>339</v>
      </c>
      <c r="E50" s="35">
        <f>IF(A50="",0,IF(G49&lt;=0,0,ROUND(G49*('Mortgage Setup'!B9/12),2)))</f>
        <v>1477.07</v>
      </c>
      <c r="F50" s="35">
        <f>IF(A50="",0,IF(G49&lt;=0,0,MIN('Mortgage Setup'!B12,MAX(G49-D50,0))))</f>
        <v>100</v>
      </c>
      <c r="G50" s="35">
        <f>IF(A50="",0,MAX(G49-D50-F50,0))</f>
        <v>262150.89</v>
      </c>
      <c r="H50" s="35">
        <f>IF(A50="",0,H49+E50)</f>
        <v>70290.11000000002</v>
      </c>
    </row>
    <row r="51" ht="26" customHeight="1" spans="1:8" x14ac:dyDescent="0.25">
      <c r="A51" s="30">
        <f>IF(G50&gt;0,47,"")</f>
        <v>47</v>
      </c>
      <c r="B51" s="31">
        <f>IF(A51="","",DATE(YEAR('Mortgage Setup'!B11),MONTH('Mortgage Setup'!B11)+46,DAY('Mortgage Setup'!B11)))</f>
        <v>47423</v>
      </c>
      <c r="C51" s="32">
        <f>IF(A51="",0,IF(G50&lt;=0,0,MIN('Mortgage Setup'!B21,G50*(1+'Mortgage Setup'!B9/12))))</f>
        <v>1816.07</v>
      </c>
      <c r="D51" s="32">
        <f>IF(A51="",0,IF(G50&lt;=0,0,MIN(C51-E51,G50)))</f>
        <v>341.47</v>
      </c>
      <c r="E51" s="32">
        <f>IF(A51="",0,IF(G50&lt;=0,0,ROUND(G50*('Mortgage Setup'!B9/12),2)))</f>
        <v>1474.6</v>
      </c>
      <c r="F51" s="32">
        <f>IF(A51="",0,IF(G50&lt;=0,0,MIN('Mortgage Setup'!B12,MAX(G50-D51,0))))</f>
        <v>100</v>
      </c>
      <c r="G51" s="32">
        <f>IF(A51="",0,MAX(G50-D51-F51,0))</f>
        <v>261709.42</v>
      </c>
      <c r="H51" s="32">
        <f>IF(A51="",0,H50+E51)</f>
        <v>71764.71000000002</v>
      </c>
    </row>
    <row r="52" ht="26" customHeight="1" spans="1:8" x14ac:dyDescent="0.25">
      <c r="A52" s="33">
        <f>IF(G51&gt;0,48,"")</f>
        <v>48</v>
      </c>
      <c r="B52" s="34">
        <f>IF(A52="","",DATE(YEAR('Mortgage Setup'!B11),MONTH('Mortgage Setup'!B11)+47,DAY('Mortgage Setup'!B11)))</f>
        <v>47453</v>
      </c>
      <c r="C52" s="35">
        <f>IF(A52="",0,IF(G51&lt;=0,0,MIN('Mortgage Setup'!B21,G51*(1+'Mortgage Setup'!B9/12))))</f>
        <v>1816.07</v>
      </c>
      <c r="D52" s="35">
        <f>IF(A52="",0,IF(G51&lt;=0,0,MIN(C52-E52,G51)))</f>
        <v>343.95</v>
      </c>
      <c r="E52" s="35">
        <f>IF(A52="",0,IF(G51&lt;=0,0,ROUND(G51*('Mortgage Setup'!B9/12),2)))</f>
        <v>1472.12</v>
      </c>
      <c r="F52" s="35">
        <f>IF(A52="",0,IF(G51&lt;=0,0,MIN('Mortgage Setup'!B12,MAX(G51-D52,0))))</f>
        <v>100</v>
      </c>
      <c r="G52" s="35">
        <f>IF(A52="",0,MAX(G51-D52-F52,0))</f>
        <v>261265.47</v>
      </c>
      <c r="H52" s="35">
        <f>IF(A52="",0,H51+E52)</f>
        <v>73236.83000000002</v>
      </c>
    </row>
    <row r="53" ht="26" customHeight="1" spans="1:8" x14ac:dyDescent="0.25">
      <c r="A53" s="30">
        <f>IF(G52&gt;0,49,"")</f>
        <v>49</v>
      </c>
      <c r="B53" s="31">
        <f>IF(A53="","",DATE(YEAR('Mortgage Setup'!B11),MONTH('Mortgage Setup'!B11)+48,DAY('Mortgage Setup'!B11)))</f>
        <v>47484</v>
      </c>
      <c r="C53" s="32">
        <f>IF(A53="",0,IF(G52&lt;=0,0,MIN('Mortgage Setup'!B21,G52*(1+'Mortgage Setup'!B9/12))))</f>
        <v>1816.07</v>
      </c>
      <c r="D53" s="32">
        <f>IF(A53="",0,IF(G52&lt;=0,0,MIN(C53-E53,G52)))</f>
        <v>346.45</v>
      </c>
      <c r="E53" s="32">
        <f>IF(A53="",0,IF(G52&lt;=0,0,ROUND(G52*('Mortgage Setup'!B9/12),2)))</f>
        <v>1469.62</v>
      </c>
      <c r="F53" s="32">
        <f>IF(A53="",0,IF(G52&lt;=0,0,MIN('Mortgage Setup'!B12,MAX(G52-D53,0))))</f>
        <v>100</v>
      </c>
      <c r="G53" s="32">
        <f>IF(A53="",0,MAX(G52-D53-F53,0))</f>
        <v>260819.02</v>
      </c>
      <c r="H53" s="32">
        <f>IF(A53="",0,H52+E53)</f>
        <v>74706.45000000001</v>
      </c>
    </row>
    <row r="54" ht="26" customHeight="1" spans="1:8" x14ac:dyDescent="0.25">
      <c r="A54" s="33">
        <f>IF(G53&gt;0,50,"")</f>
        <v>50</v>
      </c>
      <c r="B54" s="34">
        <f>IF(A54="","",DATE(YEAR('Mortgage Setup'!B11),MONTH('Mortgage Setup'!B11)+49,DAY('Mortgage Setup'!B11)))</f>
        <v>47515</v>
      </c>
      <c r="C54" s="35">
        <f>IF(A54="",0,IF(G53&lt;=0,0,MIN('Mortgage Setup'!B21,G53*(1+'Mortgage Setup'!B9/12))))</f>
        <v>1816.07</v>
      </c>
      <c r="D54" s="35">
        <f>IF(A54="",0,IF(G53&lt;=0,0,MIN(C54-E54,G53)))</f>
        <v>348.96</v>
      </c>
      <c r="E54" s="35">
        <f>IF(A54="",0,IF(G53&lt;=0,0,ROUND(G53*('Mortgage Setup'!B9/12),2)))</f>
        <v>1467.11</v>
      </c>
      <c r="F54" s="35">
        <f>IF(A54="",0,IF(G53&lt;=0,0,MIN('Mortgage Setup'!B12,MAX(G53-D54,0))))</f>
        <v>100</v>
      </c>
      <c r="G54" s="35">
        <f>IF(A54="",0,MAX(G53-D54-F54,0))</f>
        <v>260370.06</v>
      </c>
      <c r="H54" s="35">
        <f>IF(A54="",0,H53+E54)</f>
        <v>76173.56000000001</v>
      </c>
    </row>
    <row r="55" ht="26" customHeight="1" spans="1:8" x14ac:dyDescent="0.25">
      <c r="A55" s="30">
        <f>IF(G54&gt;0,51,"")</f>
        <v>51</v>
      </c>
      <c r="B55" s="31">
        <f>IF(A55="","",DATE(YEAR('Mortgage Setup'!B11),MONTH('Mortgage Setup'!B11)+50,DAY('Mortgage Setup'!B11)))</f>
        <v>47543</v>
      </c>
      <c r="C55" s="32">
        <f>IF(A55="",0,IF(G54&lt;=0,0,MIN('Mortgage Setup'!B21,G54*(1+'Mortgage Setup'!B9/12))))</f>
        <v>1816.07</v>
      </c>
      <c r="D55" s="32">
        <f>IF(A55="",0,IF(G54&lt;=0,0,MIN(C55-E55,G54)))</f>
        <v>351.49</v>
      </c>
      <c r="E55" s="32">
        <f>IF(A55="",0,IF(G54&lt;=0,0,ROUND(G54*('Mortgage Setup'!B9/12),2)))</f>
        <v>1464.58</v>
      </c>
      <c r="F55" s="32">
        <f>IF(A55="",0,IF(G54&lt;=0,0,MIN('Mortgage Setup'!B12,MAX(G54-D55,0))))</f>
        <v>100</v>
      </c>
      <c r="G55" s="32">
        <f>IF(A55="",0,MAX(G54-D55-F55,0))</f>
        <v>259918.57</v>
      </c>
      <c r="H55" s="32">
        <f>IF(A55="",0,H54+E55)</f>
        <v>77638.14000000001</v>
      </c>
    </row>
    <row r="56" ht="26" customHeight="1" spans="1:8" x14ac:dyDescent="0.25">
      <c r="A56" s="33">
        <f>IF(G55&gt;0,52,"")</f>
        <v>52</v>
      </c>
      <c r="B56" s="34">
        <f>IF(A56="","",DATE(YEAR('Mortgage Setup'!B11),MONTH('Mortgage Setup'!B11)+51,DAY('Mortgage Setup'!B11)))</f>
        <v>47574</v>
      </c>
      <c r="C56" s="35">
        <f>IF(A56="",0,IF(G55&lt;=0,0,MIN('Mortgage Setup'!B21,G55*(1+'Mortgage Setup'!B9/12))))</f>
        <v>1816.07</v>
      </c>
      <c r="D56" s="35">
        <f>IF(A56="",0,IF(G55&lt;=0,0,MIN(C56-E56,G55)))</f>
        <v>354.03</v>
      </c>
      <c r="E56" s="35">
        <f>IF(A56="",0,IF(G55&lt;=0,0,ROUND(G55*('Mortgage Setup'!B9/12),2)))</f>
        <v>1462.04</v>
      </c>
      <c r="F56" s="35">
        <f>IF(A56="",0,IF(G55&lt;=0,0,MIN('Mortgage Setup'!B12,MAX(G55-D56,0))))</f>
        <v>100</v>
      </c>
      <c r="G56" s="35">
        <f>IF(A56="",0,MAX(G55-D56-F56,0))</f>
        <v>259464.54</v>
      </c>
      <c r="H56" s="35">
        <f>IF(A56="",0,H55+E56)</f>
        <v>79100.18000000001</v>
      </c>
    </row>
    <row r="57" ht="26" customHeight="1" spans="1:8" x14ac:dyDescent="0.25">
      <c r="A57" s="30">
        <f>IF(G56&gt;0,53,"")</f>
        <v>53</v>
      </c>
      <c r="B57" s="31">
        <f>IF(A57="","",DATE(YEAR('Mortgage Setup'!B11),MONTH('Mortgage Setup'!B11)+52,DAY('Mortgage Setup'!B11)))</f>
        <v>47604</v>
      </c>
      <c r="C57" s="32">
        <f>IF(A57="",0,IF(G56&lt;=0,0,MIN('Mortgage Setup'!B21,G56*(1+'Mortgage Setup'!B9/12))))</f>
        <v>1816.07</v>
      </c>
      <c r="D57" s="32">
        <f>IF(A57="",0,IF(G56&lt;=0,0,MIN(C57-E57,G56)))</f>
        <v>356.58</v>
      </c>
      <c r="E57" s="32">
        <f>IF(A57="",0,IF(G56&lt;=0,0,ROUND(G56*('Mortgage Setup'!B9/12),2)))</f>
        <v>1459.49</v>
      </c>
      <c r="F57" s="32">
        <f>IF(A57="",0,IF(G56&lt;=0,0,MIN('Mortgage Setup'!B12,MAX(G56-D57,0))))</f>
        <v>100</v>
      </c>
      <c r="G57" s="32">
        <f>IF(A57="",0,MAX(G56-D57-F57,0))</f>
        <v>259007.96</v>
      </c>
      <c r="H57" s="32">
        <f>IF(A57="",0,H56+E57)</f>
        <v>80559.67000000001</v>
      </c>
    </row>
    <row r="58" ht="26" customHeight="1" spans="1:8" x14ac:dyDescent="0.25">
      <c r="A58" s="33">
        <f>IF(G57&gt;0,54,"")</f>
        <v>54</v>
      </c>
      <c r="B58" s="34">
        <f>IF(A58="","",DATE(YEAR('Mortgage Setup'!B11),MONTH('Mortgage Setup'!B11)+53,DAY('Mortgage Setup'!B11)))</f>
        <v>47635</v>
      </c>
      <c r="C58" s="35">
        <f>IF(A58="",0,IF(G57&lt;=0,0,MIN('Mortgage Setup'!B21,G57*(1+'Mortgage Setup'!B9/12))))</f>
        <v>1816.07</v>
      </c>
      <c r="D58" s="35">
        <f>IF(A58="",0,IF(G57&lt;=0,0,MIN(C58-E58,G57)))</f>
        <v>359.15</v>
      </c>
      <c r="E58" s="35">
        <f>IF(A58="",0,IF(G57&lt;=0,0,ROUND(G57*('Mortgage Setup'!B9/12),2)))</f>
        <v>1456.92</v>
      </c>
      <c r="F58" s="35">
        <f>IF(A58="",0,IF(G57&lt;=0,0,MIN('Mortgage Setup'!B12,MAX(G57-D58,0))))</f>
        <v>100</v>
      </c>
      <c r="G58" s="35">
        <f>IF(A58="",0,MAX(G57-D58-F58,0))</f>
        <v>258548.81</v>
      </c>
      <c r="H58" s="35">
        <f>IF(A58="",0,H57+E58)</f>
        <v>82016.59000000001</v>
      </c>
    </row>
    <row r="59" ht="26" customHeight="1" spans="1:8" x14ac:dyDescent="0.25">
      <c r="A59" s="30">
        <f>IF(G58&gt;0,55,"")</f>
        <v>55</v>
      </c>
      <c r="B59" s="31">
        <f>IF(A59="","",DATE(YEAR('Mortgage Setup'!B11),MONTH('Mortgage Setup'!B11)+54,DAY('Mortgage Setup'!B11)))</f>
        <v>47665</v>
      </c>
      <c r="C59" s="32">
        <f>IF(A59="",0,IF(G58&lt;=0,0,MIN('Mortgage Setup'!B21,G58*(1+'Mortgage Setup'!B9/12))))</f>
        <v>1816.07</v>
      </c>
      <c r="D59" s="32">
        <f>IF(A59="",0,IF(G58&lt;=0,0,MIN(C59-E59,G58)))</f>
        <v>361.73</v>
      </c>
      <c r="E59" s="32">
        <f>IF(A59="",0,IF(G58&lt;=0,0,ROUND(G58*('Mortgage Setup'!B9/12),2)))</f>
        <v>1454.34</v>
      </c>
      <c r="F59" s="32">
        <f>IF(A59="",0,IF(G58&lt;=0,0,MIN('Mortgage Setup'!B12,MAX(G58-D59,0))))</f>
        <v>100</v>
      </c>
      <c r="G59" s="32">
        <f>IF(A59="",0,MAX(G58-D59-F59,0))</f>
        <v>258087.08</v>
      </c>
      <c r="H59" s="32">
        <f>IF(A59="",0,H58+E59)</f>
        <v>83470.93000000001</v>
      </c>
    </row>
    <row r="60" ht="26" customHeight="1" spans="1:8" x14ac:dyDescent="0.25">
      <c r="A60" s="33">
        <f>IF(G59&gt;0,56,"")</f>
        <v>56</v>
      </c>
      <c r="B60" s="34">
        <f>IF(A60="","",DATE(YEAR('Mortgage Setup'!B11),MONTH('Mortgage Setup'!B11)+55,DAY('Mortgage Setup'!B11)))</f>
        <v>47696</v>
      </c>
      <c r="C60" s="35">
        <f>IF(A60="",0,IF(G59&lt;=0,0,MIN('Mortgage Setup'!B21,G59*(1+'Mortgage Setup'!B9/12))))</f>
        <v>1816.07</v>
      </c>
      <c r="D60" s="35">
        <f>IF(A60="",0,IF(G59&lt;=0,0,MIN(C60-E60,G59)))</f>
        <v>364.33</v>
      </c>
      <c r="E60" s="35">
        <f>IF(A60="",0,IF(G59&lt;=0,0,ROUND(G59*('Mortgage Setup'!B9/12),2)))</f>
        <v>1451.74</v>
      </c>
      <c r="F60" s="35">
        <f>IF(A60="",0,IF(G59&lt;=0,0,MIN('Mortgage Setup'!B12,MAX(G59-D60,0))))</f>
        <v>100</v>
      </c>
      <c r="G60" s="35">
        <f>IF(A60="",0,MAX(G59-D60-F60,0))</f>
        <v>257622.75</v>
      </c>
      <c r="H60" s="35">
        <f>IF(A60="",0,H59+E60)</f>
        <v>84922.67000000001</v>
      </c>
    </row>
    <row r="61" ht="26" customHeight="1" spans="1:8" x14ac:dyDescent="0.25">
      <c r="A61" s="30">
        <f>IF(G60&gt;0,57,"")</f>
        <v>57</v>
      </c>
      <c r="B61" s="31">
        <f>IF(A61="","",DATE(YEAR('Mortgage Setup'!B11),MONTH('Mortgage Setup'!B11)+56,DAY('Mortgage Setup'!B11)))</f>
        <v>47727</v>
      </c>
      <c r="C61" s="32">
        <f>IF(A61="",0,IF(G60&lt;=0,0,MIN('Mortgage Setup'!B21,G60*(1+'Mortgage Setup'!B9/12))))</f>
        <v>1816.07</v>
      </c>
      <c r="D61" s="32">
        <f>IF(A61="",0,IF(G60&lt;=0,0,MIN(C61-E61,G60)))</f>
        <v>366.94</v>
      </c>
      <c r="E61" s="32">
        <f>IF(A61="",0,IF(G60&lt;=0,0,ROUND(G60*('Mortgage Setup'!B9/12),2)))</f>
        <v>1449.13</v>
      </c>
      <c r="F61" s="32">
        <f>IF(A61="",0,IF(G60&lt;=0,0,MIN('Mortgage Setup'!B12,MAX(G60-D61,0))))</f>
        <v>100</v>
      </c>
      <c r="G61" s="32">
        <f>IF(A61="",0,MAX(G60-D61-F61,0))</f>
        <v>257155.81</v>
      </c>
      <c r="H61" s="32">
        <f>IF(A61="",0,H60+E61)</f>
        <v>86371.80000000002</v>
      </c>
    </row>
    <row r="62" ht="26" customHeight="1" spans="1:8" x14ac:dyDescent="0.25">
      <c r="A62" s="33">
        <f>IF(G61&gt;0,58,"")</f>
        <v>58</v>
      </c>
      <c r="B62" s="34">
        <f>IF(A62="","",DATE(YEAR('Mortgage Setup'!B11),MONTH('Mortgage Setup'!B11)+57,DAY('Mortgage Setup'!B11)))</f>
        <v>47757</v>
      </c>
      <c r="C62" s="35">
        <f>IF(A62="",0,IF(G61&lt;=0,0,MIN('Mortgage Setup'!B21,G61*(1+'Mortgage Setup'!B9/12))))</f>
        <v>1816.07</v>
      </c>
      <c r="D62" s="35">
        <f>IF(A62="",0,IF(G61&lt;=0,0,MIN(C62-E62,G61)))</f>
        <v>369.57</v>
      </c>
      <c r="E62" s="35">
        <f>IF(A62="",0,IF(G61&lt;=0,0,ROUND(G61*('Mortgage Setup'!B9/12),2)))</f>
        <v>1446.5</v>
      </c>
      <c r="F62" s="35">
        <f>IF(A62="",0,IF(G61&lt;=0,0,MIN('Mortgage Setup'!B12,MAX(G61-D62,0))))</f>
        <v>100</v>
      </c>
      <c r="G62" s="35">
        <f>IF(A62="",0,MAX(G61-D62-F62,0))</f>
        <v>256686.24</v>
      </c>
      <c r="H62" s="35">
        <f>IF(A62="",0,H61+E62)</f>
        <v>87818.30000000002</v>
      </c>
    </row>
    <row r="63" ht="26" customHeight="1" spans="1:8" x14ac:dyDescent="0.25">
      <c r="A63" s="30">
        <f>IF(G62&gt;0,59,"")</f>
        <v>59</v>
      </c>
      <c r="B63" s="31">
        <f>IF(A63="","",DATE(YEAR('Mortgage Setup'!B11),MONTH('Mortgage Setup'!B11)+58,DAY('Mortgage Setup'!B11)))</f>
        <v>47788</v>
      </c>
      <c r="C63" s="32">
        <f>IF(A63="",0,IF(G62&lt;=0,0,MIN('Mortgage Setup'!B21,G62*(1+'Mortgage Setup'!B9/12))))</f>
        <v>1816.07</v>
      </c>
      <c r="D63" s="32">
        <f>IF(A63="",0,IF(G62&lt;=0,0,MIN(C63-E63,G62)))</f>
        <v>372.21</v>
      </c>
      <c r="E63" s="32">
        <f>IF(A63="",0,IF(G62&lt;=0,0,ROUND(G62*('Mortgage Setup'!B9/12),2)))</f>
        <v>1443.86</v>
      </c>
      <c r="F63" s="32">
        <f>IF(A63="",0,IF(G62&lt;=0,0,MIN('Mortgage Setup'!B12,MAX(G62-D63,0))))</f>
        <v>100</v>
      </c>
      <c r="G63" s="32">
        <f>IF(A63="",0,MAX(G62-D63-F63,0))</f>
        <v>256214.03</v>
      </c>
      <c r="H63" s="32">
        <f>IF(A63="",0,H62+E63)</f>
        <v>89262.16000000002</v>
      </c>
    </row>
    <row r="64" ht="26" customHeight="1" spans="1:8" x14ac:dyDescent="0.25">
      <c r="A64" s="33">
        <f>IF(G63&gt;0,60,"")</f>
        <v>60</v>
      </c>
      <c r="B64" s="34">
        <f>IF(A64="","",DATE(YEAR('Mortgage Setup'!B11),MONTH('Mortgage Setup'!B11)+59,DAY('Mortgage Setup'!B11)))</f>
        <v>47818</v>
      </c>
      <c r="C64" s="35">
        <f>IF(A64="",0,IF(G63&lt;=0,0,MIN('Mortgage Setup'!B21,G63*(1+'Mortgage Setup'!B9/12))))</f>
        <v>1816.07</v>
      </c>
      <c r="D64" s="35">
        <f>IF(A64="",0,IF(G63&lt;=0,0,MIN(C64-E64,G63)))</f>
        <v>374.87</v>
      </c>
      <c r="E64" s="35">
        <f>IF(A64="",0,IF(G63&lt;=0,0,ROUND(G63*('Mortgage Setup'!B9/12),2)))</f>
        <v>1441.2</v>
      </c>
      <c r="F64" s="35">
        <f>IF(A64="",0,IF(G63&lt;=0,0,MIN('Mortgage Setup'!B12,MAX(G63-D64,0))))</f>
        <v>100</v>
      </c>
      <c r="G64" s="35">
        <f>IF(A64="",0,MAX(G63-D64-F64,0))</f>
        <v>255739.16</v>
      </c>
      <c r="H64" s="35">
        <f>IF(A64="",0,H63+E64)</f>
        <v>90703.36000000002</v>
      </c>
    </row>
    <row r="65" ht="26" customHeight="1" spans="1:8" x14ac:dyDescent="0.25">
      <c r="A65" s="30">
        <f>IF(G64&gt;0,61,"")</f>
        <v>61</v>
      </c>
      <c r="B65" s="31">
        <f>IF(A65="","",DATE(YEAR('Mortgage Setup'!B11),MONTH('Mortgage Setup'!B11)+60,DAY('Mortgage Setup'!B11)))</f>
        <v>47849</v>
      </c>
      <c r="C65" s="32">
        <f>IF(A65="",0,IF(G64&lt;=0,0,MIN('Mortgage Setup'!B21,G64*(1+'Mortgage Setup'!B9/12))))</f>
        <v>1816.07</v>
      </c>
      <c r="D65" s="32">
        <f>IF(A65="",0,IF(G64&lt;=0,0,MIN(C65-E65,G64)))</f>
        <v>377.54</v>
      </c>
      <c r="E65" s="32">
        <f>IF(A65="",0,IF(G64&lt;=0,0,ROUND(G64*('Mortgage Setup'!B9/12),2)))</f>
        <v>1438.53</v>
      </c>
      <c r="F65" s="32">
        <f>IF(A65="",0,IF(G64&lt;=0,0,MIN('Mortgage Setup'!B12,MAX(G64-D65,0))))</f>
        <v>100</v>
      </c>
      <c r="G65" s="32">
        <f>IF(A65="",0,MAX(G64-D65-F65,0))</f>
        <v>255261.62</v>
      </c>
      <c r="H65" s="32">
        <f>IF(A65="",0,H64+E65)</f>
        <v>92141.89000000001</v>
      </c>
    </row>
    <row r="66" ht="26" customHeight="1" spans="1:8" x14ac:dyDescent="0.25">
      <c r="A66" s="33">
        <f>IF(G65&gt;0,62,"")</f>
        <v>62</v>
      </c>
      <c r="B66" s="34">
        <f>IF(A66="","",DATE(YEAR('Mortgage Setup'!B11),MONTH('Mortgage Setup'!B11)+61,DAY('Mortgage Setup'!B11)))</f>
        <v>47880</v>
      </c>
      <c r="C66" s="35">
        <f>IF(A66="",0,IF(G65&lt;=0,0,MIN('Mortgage Setup'!B21,G65*(1+'Mortgage Setup'!B9/12))))</f>
        <v>1816.07</v>
      </c>
      <c r="D66" s="35">
        <f>IF(A66="",0,IF(G65&lt;=0,0,MIN(C66-E66,G65)))</f>
        <v>380.22</v>
      </c>
      <c r="E66" s="35">
        <f>IF(A66="",0,IF(G65&lt;=0,0,ROUND(G65*('Mortgage Setup'!B9/12),2)))</f>
        <v>1435.85</v>
      </c>
      <c r="F66" s="35">
        <f>IF(A66="",0,IF(G65&lt;=0,0,MIN('Mortgage Setup'!B12,MAX(G65-D66,0))))</f>
        <v>100</v>
      </c>
      <c r="G66" s="35">
        <f>IF(A66="",0,MAX(G65-D66-F66,0))</f>
        <v>254781.4</v>
      </c>
      <c r="H66" s="35">
        <f>IF(A66="",0,H65+E66)</f>
        <v>93577.74000000002</v>
      </c>
    </row>
    <row r="67" ht="26" customHeight="1" spans="1:8" x14ac:dyDescent="0.25">
      <c r="A67" s="30">
        <f>IF(G66&gt;0,63,"")</f>
        <v>63</v>
      </c>
      <c r="B67" s="31">
        <f>IF(A67="","",DATE(YEAR('Mortgage Setup'!B11),MONTH('Mortgage Setup'!B11)+62,DAY('Mortgage Setup'!B11)))</f>
        <v>47908</v>
      </c>
      <c r="C67" s="32">
        <f>IF(A67="",0,IF(G66&lt;=0,0,MIN('Mortgage Setup'!B21,G66*(1+'Mortgage Setup'!B9/12))))</f>
        <v>1816.07</v>
      </c>
      <c r="D67" s="32">
        <f>IF(A67="",0,IF(G66&lt;=0,0,MIN(C67-E67,G66)))</f>
        <v>382.92</v>
      </c>
      <c r="E67" s="32">
        <f>IF(A67="",0,IF(G66&lt;=0,0,ROUND(G66*('Mortgage Setup'!B9/12),2)))</f>
        <v>1433.15</v>
      </c>
      <c r="F67" s="32">
        <f>IF(A67="",0,IF(G66&lt;=0,0,MIN('Mortgage Setup'!B12,MAX(G66-D67,0))))</f>
        <v>100</v>
      </c>
      <c r="G67" s="32">
        <f>IF(A67="",0,MAX(G66-D67-F67,0))</f>
        <v>254298.48</v>
      </c>
      <c r="H67" s="32">
        <f>IF(A67="",0,H66+E67)</f>
        <v>95010.89000000001</v>
      </c>
    </row>
    <row r="68" ht="26" customHeight="1" spans="1:8" x14ac:dyDescent="0.25">
      <c r="A68" s="33">
        <f>IF(G67&gt;0,64,"")</f>
        <v>64</v>
      </c>
      <c r="B68" s="34">
        <f>IF(A68="","",DATE(YEAR('Mortgage Setup'!B11),MONTH('Mortgage Setup'!B11)+63,DAY('Mortgage Setup'!B11)))</f>
        <v>47939</v>
      </c>
      <c r="C68" s="35">
        <f>IF(A68="",0,IF(G67&lt;=0,0,MIN('Mortgage Setup'!B21,G67*(1+'Mortgage Setup'!B9/12))))</f>
        <v>1816.07</v>
      </c>
      <c r="D68" s="35">
        <f>IF(A68="",0,IF(G67&lt;=0,0,MIN(C68-E68,G67)))</f>
        <v>385.64</v>
      </c>
      <c r="E68" s="35">
        <f>IF(A68="",0,IF(G67&lt;=0,0,ROUND(G67*('Mortgage Setup'!B9/12),2)))</f>
        <v>1430.43</v>
      </c>
      <c r="F68" s="35">
        <f>IF(A68="",0,IF(G67&lt;=0,0,MIN('Mortgage Setup'!B12,MAX(G67-D68,0))))</f>
        <v>100</v>
      </c>
      <c r="G68" s="35">
        <f>IF(A68="",0,MAX(G67-D68-F68,0))</f>
        <v>253812.84</v>
      </c>
      <c r="H68" s="35">
        <f>IF(A68="",0,H67+E68)</f>
        <v>96441.32</v>
      </c>
    </row>
    <row r="69" ht="26" customHeight="1" spans="1:8" x14ac:dyDescent="0.25">
      <c r="A69" s="30">
        <f>IF(G68&gt;0,65,"")</f>
        <v>65</v>
      </c>
      <c r="B69" s="31">
        <f>IF(A69="","",DATE(YEAR('Mortgage Setup'!B11),MONTH('Mortgage Setup'!B11)+64,DAY('Mortgage Setup'!B11)))</f>
        <v>47969</v>
      </c>
      <c r="C69" s="32">
        <f>IF(A69="",0,IF(G68&lt;=0,0,MIN('Mortgage Setup'!B21,G68*(1+'Mortgage Setup'!B9/12))))</f>
        <v>1816.07</v>
      </c>
      <c r="D69" s="32">
        <f>IF(A69="",0,IF(G68&lt;=0,0,MIN(C69-E69,G68)))</f>
        <v>388.37</v>
      </c>
      <c r="E69" s="32">
        <f>IF(A69="",0,IF(G68&lt;=0,0,ROUND(G68*('Mortgage Setup'!B9/12),2)))</f>
        <v>1427.7</v>
      </c>
      <c r="F69" s="32">
        <f>IF(A69="",0,IF(G68&lt;=0,0,MIN('Mortgage Setup'!B12,MAX(G68-D69,0))))</f>
        <v>100</v>
      </c>
      <c r="G69" s="32">
        <f>IF(A69="",0,MAX(G68-D69-F69,0))</f>
        <v>253324.47</v>
      </c>
      <c r="H69" s="32">
        <f>IF(A69="",0,H68+E69)</f>
        <v>97869.02</v>
      </c>
    </row>
    <row r="70" ht="26" customHeight="1" spans="1:8" x14ac:dyDescent="0.25">
      <c r="A70" s="33">
        <f>IF(G69&gt;0,66,"")</f>
        <v>66</v>
      </c>
      <c r="B70" s="34">
        <f>IF(A70="","",DATE(YEAR('Mortgage Setup'!B11),MONTH('Mortgage Setup'!B11)+65,DAY('Mortgage Setup'!B11)))</f>
        <v>48000</v>
      </c>
      <c r="C70" s="35">
        <f>IF(A70="",0,IF(G69&lt;=0,0,MIN('Mortgage Setup'!B21,G69*(1+'Mortgage Setup'!B9/12))))</f>
        <v>1816.07</v>
      </c>
      <c r="D70" s="35">
        <f>IF(A70="",0,IF(G69&lt;=0,0,MIN(C70-E70,G69)))</f>
        <v>391.12</v>
      </c>
      <c r="E70" s="35">
        <f>IF(A70="",0,IF(G69&lt;=0,0,ROUND(G69*('Mortgage Setup'!B9/12),2)))</f>
        <v>1424.95</v>
      </c>
      <c r="F70" s="35">
        <f>IF(A70="",0,IF(G69&lt;=0,0,MIN('Mortgage Setup'!B12,MAX(G69-D70,0))))</f>
        <v>100</v>
      </c>
      <c r="G70" s="35">
        <f>IF(A70="",0,MAX(G69-D70-F70,0))</f>
        <v>252833.35</v>
      </c>
      <c r="H70" s="35">
        <f>IF(A70="",0,H69+E70)</f>
        <v>99293.97</v>
      </c>
    </row>
    <row r="71" ht="26" customHeight="1" spans="1:8" x14ac:dyDescent="0.25">
      <c r="A71" s="30">
        <f>IF(G70&gt;0,67,"")</f>
        <v>67</v>
      </c>
      <c r="B71" s="31">
        <f>IF(A71="","",DATE(YEAR('Mortgage Setup'!B11),MONTH('Mortgage Setup'!B11)+66,DAY('Mortgage Setup'!B11)))</f>
        <v>48030</v>
      </c>
      <c r="C71" s="32">
        <f>IF(A71="",0,IF(G70&lt;=0,0,MIN('Mortgage Setup'!B21,G70*(1+'Mortgage Setup'!B9/12))))</f>
        <v>1816.07</v>
      </c>
      <c r="D71" s="32">
        <f>IF(A71="",0,IF(G70&lt;=0,0,MIN(C71-E71,G70)))</f>
        <v>393.88</v>
      </c>
      <c r="E71" s="32">
        <f>IF(A71="",0,IF(G70&lt;=0,0,ROUND(G70*('Mortgage Setup'!B9/12),2)))</f>
        <v>1422.19</v>
      </c>
      <c r="F71" s="32">
        <f>IF(A71="",0,IF(G70&lt;=0,0,MIN('Mortgage Setup'!B12,MAX(G70-D71,0))))</f>
        <v>100</v>
      </c>
      <c r="G71" s="32">
        <f>IF(A71="",0,MAX(G70-D71-F71,0))</f>
        <v>252339.47</v>
      </c>
      <c r="H71" s="32">
        <f>IF(A71="",0,H70+E71)</f>
        <v>100716.16</v>
      </c>
    </row>
    <row r="72" ht="26" customHeight="1" spans="1:8" x14ac:dyDescent="0.25">
      <c r="A72" s="33">
        <f>IF(G71&gt;0,68,"")</f>
        <v>68</v>
      </c>
      <c r="B72" s="34">
        <f>IF(A72="","",DATE(YEAR('Mortgage Setup'!B11),MONTH('Mortgage Setup'!B11)+67,DAY('Mortgage Setup'!B11)))</f>
        <v>48061</v>
      </c>
      <c r="C72" s="35">
        <f>IF(A72="",0,IF(G71&lt;=0,0,MIN('Mortgage Setup'!B21,G71*(1+'Mortgage Setup'!B9/12))))</f>
        <v>1816.07</v>
      </c>
      <c r="D72" s="35">
        <f>IF(A72="",0,IF(G71&lt;=0,0,MIN(C72-E72,G71)))</f>
        <v>396.66</v>
      </c>
      <c r="E72" s="35">
        <f>IF(A72="",0,IF(G71&lt;=0,0,ROUND(G71*('Mortgage Setup'!B9/12),2)))</f>
        <v>1419.41</v>
      </c>
      <c r="F72" s="35">
        <f>IF(A72="",0,IF(G71&lt;=0,0,MIN('Mortgage Setup'!B12,MAX(G71-D72,0))))</f>
        <v>100</v>
      </c>
      <c r="G72" s="35">
        <f>IF(A72="",0,MAX(G71-D72-F72,0))</f>
        <v>251842.81</v>
      </c>
      <c r="H72" s="35">
        <f>IF(A72="",0,H71+E72)</f>
        <v>102135.57</v>
      </c>
    </row>
    <row r="73" ht="26" customHeight="1" spans="1:8" x14ac:dyDescent="0.25">
      <c r="A73" s="30">
        <f>IF(G72&gt;0,69,"")</f>
        <v>69</v>
      </c>
      <c r="B73" s="31">
        <f>IF(A73="","",DATE(YEAR('Mortgage Setup'!B11),MONTH('Mortgage Setup'!B11)+68,DAY('Mortgage Setup'!B11)))</f>
        <v>48092</v>
      </c>
      <c r="C73" s="32">
        <f>IF(A73="",0,IF(G72&lt;=0,0,MIN('Mortgage Setup'!B21,G72*(1+'Mortgage Setup'!B9/12))))</f>
        <v>1816.07</v>
      </c>
      <c r="D73" s="32">
        <f>IF(A73="",0,IF(G72&lt;=0,0,MIN(C73-E73,G72)))</f>
        <v>399.45</v>
      </c>
      <c r="E73" s="32">
        <f>IF(A73="",0,IF(G72&lt;=0,0,ROUND(G72*('Mortgage Setup'!B9/12),2)))</f>
        <v>1416.62</v>
      </c>
      <c r="F73" s="32">
        <f>IF(A73="",0,IF(G72&lt;=0,0,MIN('Mortgage Setup'!B12,MAX(G72-D73,0))))</f>
        <v>100</v>
      </c>
      <c r="G73" s="32">
        <f>IF(A73="",0,MAX(G72-D73-F73,0))</f>
        <v>251343.36</v>
      </c>
      <c r="H73" s="32">
        <f>IF(A73="",0,H72+E73)</f>
        <v>103552.19</v>
      </c>
    </row>
    <row r="74" ht="26" customHeight="1" spans="1:8" x14ac:dyDescent="0.25">
      <c r="A74" s="33">
        <f>IF(G73&gt;0,70,"")</f>
        <v>70</v>
      </c>
      <c r="B74" s="34">
        <f>IF(A74="","",DATE(YEAR('Mortgage Setup'!B11),MONTH('Mortgage Setup'!B11)+69,DAY('Mortgage Setup'!B11)))</f>
        <v>48122</v>
      </c>
      <c r="C74" s="35">
        <f>IF(A74="",0,IF(G73&lt;=0,0,MIN('Mortgage Setup'!B21,G73*(1+'Mortgage Setup'!B9/12))))</f>
        <v>1816.07</v>
      </c>
      <c r="D74" s="35">
        <f>IF(A74="",0,IF(G73&lt;=0,0,MIN(C74-E74,G73)))</f>
        <v>402.26</v>
      </c>
      <c r="E74" s="35">
        <f>IF(A74="",0,IF(G73&lt;=0,0,ROUND(G73*('Mortgage Setup'!B9/12),2)))</f>
        <v>1413.81</v>
      </c>
      <c r="F74" s="35">
        <f>IF(A74="",0,IF(G73&lt;=0,0,MIN('Mortgage Setup'!B12,MAX(G73-D74,0))))</f>
        <v>100</v>
      </c>
      <c r="G74" s="35">
        <f>IF(A74="",0,MAX(G73-D74-F74,0))</f>
        <v>250841.1</v>
      </c>
      <c r="H74" s="35">
        <f>IF(A74="",0,H73+E74)</f>
        <v>104966</v>
      </c>
    </row>
    <row r="75" ht="26" customHeight="1" spans="1:8" x14ac:dyDescent="0.25">
      <c r="A75" s="30">
        <f>IF(G74&gt;0,71,"")</f>
        <v>71</v>
      </c>
      <c r="B75" s="31">
        <f>IF(A75="","",DATE(YEAR('Mortgage Setup'!B11),MONTH('Mortgage Setup'!B11)+70,DAY('Mortgage Setup'!B11)))</f>
        <v>48153</v>
      </c>
      <c r="C75" s="32">
        <f>IF(A75="",0,IF(G74&lt;=0,0,MIN('Mortgage Setup'!B21,G74*(1+'Mortgage Setup'!B9/12))))</f>
        <v>1816.07</v>
      </c>
      <c r="D75" s="32">
        <f>IF(A75="",0,IF(G74&lt;=0,0,MIN(C75-E75,G74)))</f>
        <v>405.09</v>
      </c>
      <c r="E75" s="32">
        <f>IF(A75="",0,IF(G74&lt;=0,0,ROUND(G74*('Mortgage Setup'!B9/12),2)))</f>
        <v>1410.98</v>
      </c>
      <c r="F75" s="32">
        <f>IF(A75="",0,IF(G74&lt;=0,0,MIN('Mortgage Setup'!B12,MAX(G74-D75,0))))</f>
        <v>100</v>
      </c>
      <c r="G75" s="32">
        <f>IF(A75="",0,MAX(G74-D75-F75,0))</f>
        <v>250336.01</v>
      </c>
      <c r="H75" s="32">
        <f>IF(A75="",0,H74+E75)</f>
        <v>106376.98</v>
      </c>
    </row>
    <row r="76" ht="26" customHeight="1" spans="1:8" x14ac:dyDescent="0.25">
      <c r="A76" s="33">
        <f>IF(G75&gt;0,72,"")</f>
        <v>72</v>
      </c>
      <c r="B76" s="34">
        <f>IF(A76="","",DATE(YEAR('Mortgage Setup'!B11),MONTH('Mortgage Setup'!B11)+71,DAY('Mortgage Setup'!B11)))</f>
        <v>48183</v>
      </c>
      <c r="C76" s="35">
        <f>IF(A76="",0,IF(G75&lt;=0,0,MIN('Mortgage Setup'!B21,G75*(1+'Mortgage Setup'!B9/12))))</f>
        <v>1816.07</v>
      </c>
      <c r="D76" s="35">
        <f>IF(A76="",0,IF(G75&lt;=0,0,MIN(C76-E76,G75)))</f>
        <v>407.93</v>
      </c>
      <c r="E76" s="35">
        <f>IF(A76="",0,IF(G75&lt;=0,0,ROUND(G75*('Mortgage Setup'!B9/12),2)))</f>
        <v>1408.14</v>
      </c>
      <c r="F76" s="35">
        <f>IF(A76="",0,IF(G75&lt;=0,0,MIN('Mortgage Setup'!B12,MAX(G75-D76,0))))</f>
        <v>100</v>
      </c>
      <c r="G76" s="35">
        <f>IF(A76="",0,MAX(G75-D76-F76,0))</f>
        <v>249828.08</v>
      </c>
      <c r="H76" s="35">
        <f>IF(A76="",0,H75+E76)</f>
        <v>107785.12</v>
      </c>
    </row>
    <row r="77" ht="26" customHeight="1" spans="1:8" x14ac:dyDescent="0.25">
      <c r="A77" s="30">
        <f>IF(G76&gt;0,73,"")</f>
        <v>73</v>
      </c>
      <c r="B77" s="31">
        <f>IF(A77="","",DATE(YEAR('Mortgage Setup'!B11),MONTH('Mortgage Setup'!B11)+72,DAY('Mortgage Setup'!B11)))</f>
        <v>48214</v>
      </c>
      <c r="C77" s="32">
        <f>IF(A77="",0,IF(G76&lt;=0,0,MIN('Mortgage Setup'!B21,G76*(1+'Mortgage Setup'!B9/12))))</f>
        <v>1816.07</v>
      </c>
      <c r="D77" s="32">
        <f>IF(A77="",0,IF(G76&lt;=0,0,MIN(C77-E77,G76)))</f>
        <v>410.79</v>
      </c>
      <c r="E77" s="32">
        <f>IF(A77="",0,IF(G76&lt;=0,0,ROUND(G76*('Mortgage Setup'!B9/12),2)))</f>
        <v>1405.28</v>
      </c>
      <c r="F77" s="32">
        <f>IF(A77="",0,IF(G76&lt;=0,0,MIN('Mortgage Setup'!B12,MAX(G76-D77,0))))</f>
        <v>100</v>
      </c>
      <c r="G77" s="32">
        <f>IF(A77="",0,MAX(G76-D77-F77,0))</f>
        <v>249317.29</v>
      </c>
      <c r="H77" s="32">
        <f>IF(A77="",0,H76+E77)</f>
        <v>109190.4</v>
      </c>
    </row>
    <row r="78" ht="26" customHeight="1" spans="1:8" x14ac:dyDescent="0.25">
      <c r="A78" s="33">
        <f>IF(G77&gt;0,74,"")</f>
        <v>74</v>
      </c>
      <c r="B78" s="34">
        <f>IF(A78="","",DATE(YEAR('Mortgage Setup'!B11),MONTH('Mortgage Setup'!B11)+73,DAY('Mortgage Setup'!B11)))</f>
        <v>48245</v>
      </c>
      <c r="C78" s="35">
        <f>IF(A78="",0,IF(G77&lt;=0,0,MIN('Mortgage Setup'!B21,G77*(1+'Mortgage Setup'!B9/12))))</f>
        <v>1816.07</v>
      </c>
      <c r="D78" s="35">
        <f>IF(A78="",0,IF(G77&lt;=0,0,MIN(C78-E78,G77)))</f>
        <v>413.66</v>
      </c>
      <c r="E78" s="35">
        <f>IF(A78="",0,IF(G77&lt;=0,0,ROUND(G77*('Mortgage Setup'!B9/12),2)))</f>
        <v>1402.41</v>
      </c>
      <c r="F78" s="35">
        <f>IF(A78="",0,IF(G77&lt;=0,0,MIN('Mortgage Setup'!B12,MAX(G77-D78,0))))</f>
        <v>100</v>
      </c>
      <c r="G78" s="35">
        <f>IF(A78="",0,MAX(G77-D78-F78,0))</f>
        <v>248803.63</v>
      </c>
      <c r="H78" s="35">
        <f>IF(A78="",0,H77+E78)</f>
        <v>110592.81</v>
      </c>
    </row>
    <row r="79" ht="26" customHeight="1" spans="1:8" x14ac:dyDescent="0.25">
      <c r="A79" s="30">
        <f>IF(G78&gt;0,75,"")</f>
        <v>75</v>
      </c>
      <c r="B79" s="31">
        <f>IF(A79="","",DATE(YEAR('Mortgage Setup'!B11),MONTH('Mortgage Setup'!B11)+74,DAY('Mortgage Setup'!B11)))</f>
        <v>48274</v>
      </c>
      <c r="C79" s="32">
        <f>IF(A79="",0,IF(G78&lt;=0,0,MIN('Mortgage Setup'!B21,G78*(1+'Mortgage Setup'!B9/12))))</f>
        <v>1816.07</v>
      </c>
      <c r="D79" s="32">
        <f>IF(A79="",0,IF(G78&lt;=0,0,MIN(C79-E79,G78)))</f>
        <v>416.55</v>
      </c>
      <c r="E79" s="32">
        <f>IF(A79="",0,IF(G78&lt;=0,0,ROUND(G78*('Mortgage Setup'!B9/12),2)))</f>
        <v>1399.52</v>
      </c>
      <c r="F79" s="32">
        <f>IF(A79="",0,IF(G78&lt;=0,0,MIN('Mortgage Setup'!B12,MAX(G78-D79,0))))</f>
        <v>100</v>
      </c>
      <c r="G79" s="32">
        <f>IF(A79="",0,MAX(G78-D79-F79,0))</f>
        <v>248287.08</v>
      </c>
      <c r="H79" s="32">
        <f>IF(A79="",0,H78+E79)</f>
        <v>111992.33</v>
      </c>
    </row>
    <row r="80" ht="26" customHeight="1" spans="1:8" x14ac:dyDescent="0.25">
      <c r="A80" s="33">
        <f>IF(G79&gt;0,76,"")</f>
        <v>76</v>
      </c>
      <c r="B80" s="34">
        <f>IF(A80="","",DATE(YEAR('Mortgage Setup'!B11),MONTH('Mortgage Setup'!B11)+75,DAY('Mortgage Setup'!B11)))</f>
        <v>48305</v>
      </c>
      <c r="C80" s="35">
        <f>IF(A80="",0,IF(G79&lt;=0,0,MIN('Mortgage Setup'!B21,G79*(1+'Mortgage Setup'!B9/12))))</f>
        <v>1816.07</v>
      </c>
      <c r="D80" s="35">
        <f>IF(A80="",0,IF(G79&lt;=0,0,MIN(C80-E80,G79)))</f>
        <v>419.46</v>
      </c>
      <c r="E80" s="35">
        <f>IF(A80="",0,IF(G79&lt;=0,0,ROUND(G79*('Mortgage Setup'!B9/12),2)))</f>
        <v>1396.61</v>
      </c>
      <c r="F80" s="35">
        <f>IF(A80="",0,IF(G79&lt;=0,0,MIN('Mortgage Setup'!B12,MAX(G79-D80,0))))</f>
        <v>100</v>
      </c>
      <c r="G80" s="35">
        <f>IF(A80="",0,MAX(G79-D80-F80,0))</f>
        <v>247767.62</v>
      </c>
      <c r="H80" s="35">
        <f>IF(A80="",0,H79+E80)</f>
        <v>113388.94</v>
      </c>
    </row>
    <row r="81" ht="26" customHeight="1" spans="1:8" x14ac:dyDescent="0.25">
      <c r="A81" s="30">
        <f>IF(G80&gt;0,77,"")</f>
        <v>77</v>
      </c>
      <c r="B81" s="31">
        <f>IF(A81="","",DATE(YEAR('Mortgage Setup'!B11),MONTH('Mortgage Setup'!B11)+76,DAY('Mortgage Setup'!B11)))</f>
        <v>48335</v>
      </c>
      <c r="C81" s="32">
        <f>IF(A81="",0,IF(G80&lt;=0,0,MIN('Mortgage Setup'!B21,G80*(1+'Mortgage Setup'!B9/12))))</f>
        <v>1816.07</v>
      </c>
      <c r="D81" s="32">
        <f>IF(A81="",0,IF(G80&lt;=0,0,MIN(C81-E81,G80)))</f>
        <v>422.38</v>
      </c>
      <c r="E81" s="32">
        <f>IF(A81="",0,IF(G80&lt;=0,0,ROUND(G80*('Mortgage Setup'!B9/12),2)))</f>
        <v>1393.69</v>
      </c>
      <c r="F81" s="32">
        <f>IF(A81="",0,IF(G80&lt;=0,0,MIN('Mortgage Setup'!B12,MAX(G80-D81,0))))</f>
        <v>100</v>
      </c>
      <c r="G81" s="32">
        <f>IF(A81="",0,MAX(G80-D81-F81,0))</f>
        <v>247245.24</v>
      </c>
      <c r="H81" s="32">
        <f>IF(A81="",0,H80+E81)</f>
        <v>114782.63</v>
      </c>
    </row>
    <row r="82" ht="26" customHeight="1" spans="1:8" x14ac:dyDescent="0.25">
      <c r="A82" s="33">
        <f>IF(G81&gt;0,78,"")</f>
        <v>78</v>
      </c>
      <c r="B82" s="34">
        <f>IF(A82="","",DATE(YEAR('Mortgage Setup'!B11),MONTH('Mortgage Setup'!B11)+77,DAY('Mortgage Setup'!B11)))</f>
        <v>48366</v>
      </c>
      <c r="C82" s="35">
        <f>IF(A82="",0,IF(G81&lt;=0,0,MIN('Mortgage Setup'!B21,G81*(1+'Mortgage Setup'!B9/12))))</f>
        <v>1816.07</v>
      </c>
      <c r="D82" s="35">
        <f>IF(A82="",0,IF(G81&lt;=0,0,MIN(C82-E82,G81)))</f>
        <v>425.32</v>
      </c>
      <c r="E82" s="35">
        <f>IF(A82="",0,IF(G81&lt;=0,0,ROUND(G81*('Mortgage Setup'!B9/12),2)))</f>
        <v>1390.75</v>
      </c>
      <c r="F82" s="35">
        <f>IF(A82="",0,IF(G81&lt;=0,0,MIN('Mortgage Setup'!B12,MAX(G81-D82,0))))</f>
        <v>100</v>
      </c>
      <c r="G82" s="35">
        <f>IF(A82="",0,MAX(G81-D82-F82,0))</f>
        <v>246719.92</v>
      </c>
      <c r="H82" s="35">
        <f>IF(A82="",0,H81+E82)</f>
        <v>116173.38</v>
      </c>
    </row>
    <row r="83" ht="26" customHeight="1" spans="1:8" x14ac:dyDescent="0.25">
      <c r="A83" s="30">
        <f>IF(G82&gt;0,79,"")</f>
        <v>79</v>
      </c>
      <c r="B83" s="31">
        <f>IF(A83="","",DATE(YEAR('Mortgage Setup'!B11),MONTH('Mortgage Setup'!B11)+78,DAY('Mortgage Setup'!B11)))</f>
        <v>48396</v>
      </c>
      <c r="C83" s="32">
        <f>IF(A83="",0,IF(G82&lt;=0,0,MIN('Mortgage Setup'!B21,G82*(1+'Mortgage Setup'!B9/12))))</f>
        <v>1816.07</v>
      </c>
      <c r="D83" s="32">
        <f>IF(A83="",0,IF(G82&lt;=0,0,MIN(C83-E83,G82)))</f>
        <v>428.27</v>
      </c>
      <c r="E83" s="32">
        <f>IF(A83="",0,IF(G82&lt;=0,0,ROUND(G82*('Mortgage Setup'!B9/12),2)))</f>
        <v>1387.8</v>
      </c>
      <c r="F83" s="32">
        <f>IF(A83="",0,IF(G82&lt;=0,0,MIN('Mortgage Setup'!B12,MAX(G82-D83,0))))</f>
        <v>100</v>
      </c>
      <c r="G83" s="32">
        <f>IF(A83="",0,MAX(G82-D83-F83,0))</f>
        <v>246191.65</v>
      </c>
      <c r="H83" s="32">
        <f>IF(A83="",0,H82+E83)</f>
        <v>117561.18000000001</v>
      </c>
    </row>
    <row r="84" ht="26" customHeight="1" spans="1:8" x14ac:dyDescent="0.25">
      <c r="A84" s="33">
        <f>IF(G83&gt;0,80,"")</f>
        <v>80</v>
      </c>
      <c r="B84" s="34">
        <f>IF(A84="","",DATE(YEAR('Mortgage Setup'!B11),MONTH('Mortgage Setup'!B11)+79,DAY('Mortgage Setup'!B11)))</f>
        <v>48427</v>
      </c>
      <c r="C84" s="35">
        <f>IF(A84="",0,IF(G83&lt;=0,0,MIN('Mortgage Setup'!B21,G83*(1+'Mortgage Setup'!B9/12))))</f>
        <v>1816.07</v>
      </c>
      <c r="D84" s="35">
        <f>IF(A84="",0,IF(G83&lt;=0,0,MIN(C84-E84,G83)))</f>
        <v>431.24</v>
      </c>
      <c r="E84" s="35">
        <f>IF(A84="",0,IF(G83&lt;=0,0,ROUND(G83*('Mortgage Setup'!B9/12),2)))</f>
        <v>1384.83</v>
      </c>
      <c r="F84" s="35">
        <f>IF(A84="",0,IF(G83&lt;=0,0,MIN('Mortgage Setup'!B12,MAX(G83-D84,0))))</f>
        <v>100</v>
      </c>
      <c r="G84" s="35">
        <f>IF(A84="",0,MAX(G83-D84-F84,0))</f>
        <v>245660.41</v>
      </c>
      <c r="H84" s="35">
        <f>IF(A84="",0,H83+E84)</f>
        <v>118946.01000000001</v>
      </c>
    </row>
    <row r="85" ht="26" customHeight="1" spans="1:8" x14ac:dyDescent="0.25">
      <c r="A85" s="30">
        <f>IF(G84&gt;0,81,"")</f>
        <v>81</v>
      </c>
      <c r="B85" s="31">
        <f>IF(A85="","",DATE(YEAR('Mortgage Setup'!B11),MONTH('Mortgage Setup'!B11)+80,DAY('Mortgage Setup'!B11)))</f>
        <v>48458</v>
      </c>
      <c r="C85" s="32">
        <f>IF(A85="",0,IF(G84&lt;=0,0,MIN('Mortgage Setup'!B21,G84*(1+'Mortgage Setup'!B9/12))))</f>
        <v>1816.07</v>
      </c>
      <c r="D85" s="32">
        <f>IF(A85="",0,IF(G84&lt;=0,0,MIN(C85-E85,G84)))</f>
        <v>434.23</v>
      </c>
      <c r="E85" s="32">
        <f>IF(A85="",0,IF(G84&lt;=0,0,ROUND(G84*('Mortgage Setup'!B9/12),2)))</f>
        <v>1381.84</v>
      </c>
      <c r="F85" s="32">
        <f>IF(A85="",0,IF(G84&lt;=0,0,MIN('Mortgage Setup'!B12,MAX(G84-D85,0))))</f>
        <v>100</v>
      </c>
      <c r="G85" s="32">
        <f>IF(A85="",0,MAX(G84-D85-F85,0))</f>
        <v>245126.18</v>
      </c>
      <c r="H85" s="32">
        <f>IF(A85="",0,H84+E85)</f>
        <v>120327.85</v>
      </c>
    </row>
    <row r="86" ht="26" customHeight="1" spans="1:8" x14ac:dyDescent="0.25">
      <c r="A86" s="33">
        <f>IF(G85&gt;0,82,"")</f>
        <v>82</v>
      </c>
      <c r="B86" s="34">
        <f>IF(A86="","",DATE(YEAR('Mortgage Setup'!B11),MONTH('Mortgage Setup'!B11)+81,DAY('Mortgage Setup'!B11)))</f>
        <v>48488</v>
      </c>
      <c r="C86" s="35">
        <f>IF(A86="",0,IF(G85&lt;=0,0,MIN('Mortgage Setup'!B21,G85*(1+'Mortgage Setup'!B9/12))))</f>
        <v>1816.07</v>
      </c>
      <c r="D86" s="35">
        <f>IF(A86="",0,IF(G85&lt;=0,0,MIN(C86-E86,G85)))</f>
        <v>437.24</v>
      </c>
      <c r="E86" s="35">
        <f>IF(A86="",0,IF(G85&lt;=0,0,ROUND(G85*('Mortgage Setup'!B9/12),2)))</f>
        <v>1378.83</v>
      </c>
      <c r="F86" s="35">
        <f>IF(A86="",0,IF(G85&lt;=0,0,MIN('Mortgage Setup'!B12,MAX(G85-D86,0))))</f>
        <v>100</v>
      </c>
      <c r="G86" s="35">
        <f>IF(A86="",0,MAX(G85-D86-F86,0))</f>
        <v>244588.94</v>
      </c>
      <c r="H86" s="35">
        <f>IF(A86="",0,H85+E86)</f>
        <v>121706.68000000001</v>
      </c>
    </row>
    <row r="87" ht="26" customHeight="1" spans="1:8" x14ac:dyDescent="0.25">
      <c r="A87" s="30">
        <f>IF(G86&gt;0,83,"")</f>
        <v>83</v>
      </c>
      <c r="B87" s="31">
        <f>IF(A87="","",DATE(YEAR('Mortgage Setup'!B11),MONTH('Mortgage Setup'!B11)+82,DAY('Mortgage Setup'!B11)))</f>
        <v>48519</v>
      </c>
      <c r="C87" s="32">
        <f>IF(A87="",0,IF(G86&lt;=0,0,MIN('Mortgage Setup'!B21,G86*(1+'Mortgage Setup'!B9/12))))</f>
        <v>1816.07</v>
      </c>
      <c r="D87" s="32">
        <f>IF(A87="",0,IF(G86&lt;=0,0,MIN(C87-E87,G86)))</f>
        <v>440.26</v>
      </c>
      <c r="E87" s="32">
        <f>IF(A87="",0,IF(G86&lt;=0,0,ROUND(G86*('Mortgage Setup'!B9/12),2)))</f>
        <v>1375.81</v>
      </c>
      <c r="F87" s="32">
        <f>IF(A87="",0,IF(G86&lt;=0,0,MIN('Mortgage Setup'!B12,MAX(G86-D87,0))))</f>
        <v>100</v>
      </c>
      <c r="G87" s="32">
        <f>IF(A87="",0,MAX(G86-D87-F87,0))</f>
        <v>244048.68</v>
      </c>
      <c r="H87" s="32">
        <f>IF(A87="",0,H86+E87)</f>
        <v>123082.49</v>
      </c>
    </row>
    <row r="88" ht="26" customHeight="1" spans="1:8" x14ac:dyDescent="0.25">
      <c r="A88" s="33">
        <f>IF(G87&gt;0,84,"")</f>
        <v>84</v>
      </c>
      <c r="B88" s="34">
        <f>IF(A88="","",DATE(YEAR('Mortgage Setup'!B11),MONTH('Mortgage Setup'!B11)+83,DAY('Mortgage Setup'!B11)))</f>
        <v>48549</v>
      </c>
      <c r="C88" s="35">
        <f>IF(A88="",0,IF(G87&lt;=0,0,MIN('Mortgage Setup'!B21,G87*(1+'Mortgage Setup'!B9/12))))</f>
        <v>1816.07</v>
      </c>
      <c r="D88" s="35">
        <f>IF(A88="",0,IF(G87&lt;=0,0,MIN(C88-E88,G87)))</f>
        <v>443.3</v>
      </c>
      <c r="E88" s="35">
        <f>IF(A88="",0,IF(G87&lt;=0,0,ROUND(G87*('Mortgage Setup'!B9/12),2)))</f>
        <v>1372.77</v>
      </c>
      <c r="F88" s="35">
        <f>IF(A88="",0,IF(G87&lt;=0,0,MIN('Mortgage Setup'!B12,MAX(G87-D88,0))))</f>
        <v>100</v>
      </c>
      <c r="G88" s="35">
        <f>IF(A88="",0,MAX(G87-D88-F88,0))</f>
        <v>243505.38</v>
      </c>
      <c r="H88" s="35">
        <f>IF(A88="",0,H87+E88)</f>
        <v>124455.26000000001</v>
      </c>
    </row>
    <row r="89" ht="26" customHeight="1" spans="1:8" x14ac:dyDescent="0.25">
      <c r="A89" s="30">
        <f>IF(G88&gt;0,85,"")</f>
        <v>85</v>
      </c>
      <c r="B89" s="31">
        <f>IF(A89="","",DATE(YEAR('Mortgage Setup'!B11),MONTH('Mortgage Setup'!B11)+84,DAY('Mortgage Setup'!B11)))</f>
        <v>48580</v>
      </c>
      <c r="C89" s="32">
        <f>IF(A89="",0,IF(G88&lt;=0,0,MIN('Mortgage Setup'!B21,G88*(1+'Mortgage Setup'!B9/12))))</f>
        <v>1816.07</v>
      </c>
      <c r="D89" s="32">
        <f>IF(A89="",0,IF(G88&lt;=0,0,MIN(C89-E89,G88)))</f>
        <v>446.35</v>
      </c>
      <c r="E89" s="32">
        <f>IF(A89="",0,IF(G88&lt;=0,0,ROUND(G88*('Mortgage Setup'!B9/12),2)))</f>
        <v>1369.72</v>
      </c>
      <c r="F89" s="32">
        <f>IF(A89="",0,IF(G88&lt;=0,0,MIN('Mortgage Setup'!B12,MAX(G88-D89,0))))</f>
        <v>100</v>
      </c>
      <c r="G89" s="32">
        <f>IF(A89="",0,MAX(G88-D89-F89,0))</f>
        <v>242959.03</v>
      </c>
      <c r="H89" s="32">
        <f>IF(A89="",0,H88+E89)</f>
        <v>125824.98000000001</v>
      </c>
    </row>
    <row r="90" ht="26" customHeight="1" spans="1:8" x14ac:dyDescent="0.25">
      <c r="A90" s="33">
        <f>IF(G89&gt;0,86,"")</f>
        <v>86</v>
      </c>
      <c r="B90" s="34">
        <f>IF(A90="","",DATE(YEAR('Mortgage Setup'!B11),MONTH('Mortgage Setup'!B11)+85,DAY('Mortgage Setup'!B11)))</f>
        <v>48611</v>
      </c>
      <c r="C90" s="35">
        <f>IF(A90="",0,IF(G89&lt;=0,0,MIN('Mortgage Setup'!B21,G89*(1+'Mortgage Setup'!B9/12))))</f>
        <v>1816.07</v>
      </c>
      <c r="D90" s="35">
        <f>IF(A90="",0,IF(G89&lt;=0,0,MIN(C90-E90,G89)))</f>
        <v>449.43</v>
      </c>
      <c r="E90" s="35">
        <f>IF(A90="",0,IF(G89&lt;=0,0,ROUND(G89*('Mortgage Setup'!B9/12),2)))</f>
        <v>1366.64</v>
      </c>
      <c r="F90" s="35">
        <f>IF(A90="",0,IF(G89&lt;=0,0,MIN('Mortgage Setup'!B12,MAX(G89-D90,0))))</f>
        <v>100</v>
      </c>
      <c r="G90" s="35">
        <f>IF(A90="",0,MAX(G89-D90-F90,0))</f>
        <v>242409.6</v>
      </c>
      <c r="H90" s="35">
        <f>IF(A90="",0,H89+E90)</f>
        <v>127191.62000000001</v>
      </c>
    </row>
    <row r="91" ht="26" customHeight="1" spans="1:8" x14ac:dyDescent="0.25">
      <c r="A91" s="30">
        <f>IF(G90&gt;0,87,"")</f>
        <v>87</v>
      </c>
      <c r="B91" s="31">
        <f>IF(A91="","",DATE(YEAR('Mortgage Setup'!B11),MONTH('Mortgage Setup'!B11)+86,DAY('Mortgage Setup'!B11)))</f>
        <v>48639</v>
      </c>
      <c r="C91" s="32">
        <f>IF(A91="",0,IF(G90&lt;=0,0,MIN('Mortgage Setup'!B21,G90*(1+'Mortgage Setup'!B9/12))))</f>
        <v>1816.07</v>
      </c>
      <c r="D91" s="32">
        <f>IF(A91="",0,IF(G90&lt;=0,0,MIN(C91-E91,G90)))</f>
        <v>452.52</v>
      </c>
      <c r="E91" s="32">
        <f>IF(A91="",0,IF(G90&lt;=0,0,ROUND(G90*('Mortgage Setup'!B9/12),2)))</f>
        <v>1363.55</v>
      </c>
      <c r="F91" s="32">
        <f>IF(A91="",0,IF(G90&lt;=0,0,MIN('Mortgage Setup'!B12,MAX(G90-D91,0))))</f>
        <v>100</v>
      </c>
      <c r="G91" s="32">
        <f>IF(A91="",0,MAX(G90-D91-F91,0))</f>
        <v>241857.08</v>
      </c>
      <c r="H91" s="32">
        <f>IF(A91="",0,H90+E91)</f>
        <v>128555.17000000001</v>
      </c>
    </row>
    <row r="92" ht="26" customHeight="1" spans="1:8" x14ac:dyDescent="0.25">
      <c r="A92" s="33">
        <f>IF(G91&gt;0,88,"")</f>
        <v>88</v>
      </c>
      <c r="B92" s="34">
        <f>IF(A92="","",DATE(YEAR('Mortgage Setup'!B11),MONTH('Mortgage Setup'!B11)+87,DAY('Mortgage Setup'!B11)))</f>
        <v>48670</v>
      </c>
      <c r="C92" s="35">
        <f>IF(A92="",0,IF(G91&lt;=0,0,MIN('Mortgage Setup'!B21,G91*(1+'Mortgage Setup'!B9/12))))</f>
        <v>1816.07</v>
      </c>
      <c r="D92" s="35">
        <f>IF(A92="",0,IF(G91&lt;=0,0,MIN(C92-E92,G91)))</f>
        <v>455.62</v>
      </c>
      <c r="E92" s="35">
        <f>IF(A92="",0,IF(G91&lt;=0,0,ROUND(G91*('Mortgage Setup'!B9/12),2)))</f>
        <v>1360.45</v>
      </c>
      <c r="F92" s="35">
        <f>IF(A92="",0,IF(G91&lt;=0,0,MIN('Mortgage Setup'!B12,MAX(G91-D92,0))))</f>
        <v>100</v>
      </c>
      <c r="G92" s="35">
        <f>IF(A92="",0,MAX(G91-D92-F92,0))</f>
        <v>241301.46</v>
      </c>
      <c r="H92" s="35">
        <f>IF(A92="",0,H91+E92)</f>
        <v>129915.62000000001</v>
      </c>
    </row>
    <row r="93" ht="26" customHeight="1" spans="1:8" x14ac:dyDescent="0.25">
      <c r="A93" s="30">
        <f>IF(G92&gt;0,89,"")</f>
        <v>89</v>
      </c>
      <c r="B93" s="31">
        <f>IF(A93="","",DATE(YEAR('Mortgage Setup'!B11),MONTH('Mortgage Setup'!B11)+88,DAY('Mortgage Setup'!B11)))</f>
        <v>48700</v>
      </c>
      <c r="C93" s="32">
        <f>IF(A93="",0,IF(G92&lt;=0,0,MIN('Mortgage Setup'!B21,G92*(1+'Mortgage Setup'!B9/12))))</f>
        <v>1816.07</v>
      </c>
      <c r="D93" s="32">
        <f>IF(A93="",0,IF(G92&lt;=0,0,MIN(C93-E93,G92)))</f>
        <v>458.75</v>
      </c>
      <c r="E93" s="32">
        <f>IF(A93="",0,IF(G92&lt;=0,0,ROUND(G92*('Mortgage Setup'!B9/12),2)))</f>
        <v>1357.32</v>
      </c>
      <c r="F93" s="32">
        <f>IF(A93="",0,IF(G92&lt;=0,0,MIN('Mortgage Setup'!B12,MAX(G92-D93,0))))</f>
        <v>100</v>
      </c>
      <c r="G93" s="32">
        <f>IF(A93="",0,MAX(G92-D93-F93,0))</f>
        <v>240742.71</v>
      </c>
      <c r="H93" s="32">
        <f>IF(A93="",0,H92+E93)</f>
        <v>131272.94</v>
      </c>
    </row>
    <row r="94" ht="26" customHeight="1" spans="1:8" x14ac:dyDescent="0.25">
      <c r="A94" s="33">
        <f>IF(G93&gt;0,90,"")</f>
        <v>90</v>
      </c>
      <c r="B94" s="34">
        <f>IF(A94="","",DATE(YEAR('Mortgage Setup'!B11),MONTH('Mortgage Setup'!B11)+89,DAY('Mortgage Setup'!B11)))</f>
        <v>48731</v>
      </c>
      <c r="C94" s="35">
        <f>IF(A94="",0,IF(G93&lt;=0,0,MIN('Mortgage Setup'!B21,G93*(1+'Mortgage Setup'!B9/12))))</f>
        <v>1816.07</v>
      </c>
      <c r="D94" s="35">
        <f>IF(A94="",0,IF(G93&lt;=0,0,MIN(C94-E94,G93)))</f>
        <v>461.89</v>
      </c>
      <c r="E94" s="35">
        <f>IF(A94="",0,IF(G93&lt;=0,0,ROUND(G93*('Mortgage Setup'!B9/12),2)))</f>
        <v>1354.18</v>
      </c>
      <c r="F94" s="35">
        <f>IF(A94="",0,IF(G93&lt;=0,0,MIN('Mortgage Setup'!B12,MAX(G93-D94,0))))</f>
        <v>100</v>
      </c>
      <c r="G94" s="35">
        <f>IF(A94="",0,MAX(G93-D94-F94,0))</f>
        <v>240180.82</v>
      </c>
      <c r="H94" s="35">
        <f>IF(A94="",0,H93+E94)</f>
        <v>132627.12</v>
      </c>
    </row>
    <row r="95" ht="26" customHeight="1" spans="1:8" x14ac:dyDescent="0.25">
      <c r="A95" s="30">
        <f>IF(G94&gt;0,91,"")</f>
        <v>91</v>
      </c>
      <c r="B95" s="31">
        <f>IF(A95="","",DATE(YEAR('Mortgage Setup'!B11),MONTH('Mortgage Setup'!B11)+90,DAY('Mortgage Setup'!B11)))</f>
        <v>48761</v>
      </c>
      <c r="C95" s="32">
        <f>IF(A95="",0,IF(G94&lt;=0,0,MIN('Mortgage Setup'!B21,G94*(1+'Mortgage Setup'!B9/12))))</f>
        <v>1816.07</v>
      </c>
      <c r="D95" s="32">
        <f>IF(A95="",0,IF(G94&lt;=0,0,MIN(C95-E95,G94)))</f>
        <v>465.05</v>
      </c>
      <c r="E95" s="32">
        <f>IF(A95="",0,IF(G94&lt;=0,0,ROUND(G94*('Mortgage Setup'!B9/12),2)))</f>
        <v>1351.02</v>
      </c>
      <c r="F95" s="32">
        <f>IF(A95="",0,IF(G94&lt;=0,0,MIN('Mortgage Setup'!B12,MAX(G94-D95,0))))</f>
        <v>100</v>
      </c>
      <c r="G95" s="32">
        <f>IF(A95="",0,MAX(G94-D95-F95,0))</f>
        <v>239615.77</v>
      </c>
      <c r="H95" s="32">
        <f>IF(A95="",0,H94+E95)</f>
        <v>133978.13999999998</v>
      </c>
    </row>
    <row r="96" ht="26" customHeight="1" spans="1:8" x14ac:dyDescent="0.25">
      <c r="A96" s="33">
        <f>IF(G95&gt;0,92,"")</f>
        <v>92</v>
      </c>
      <c r="B96" s="34">
        <f>IF(A96="","",DATE(YEAR('Mortgage Setup'!B11),MONTH('Mortgage Setup'!B11)+91,DAY('Mortgage Setup'!B11)))</f>
        <v>48792</v>
      </c>
      <c r="C96" s="35">
        <f>IF(A96="",0,IF(G95&lt;=0,0,MIN('Mortgage Setup'!B21,G95*(1+'Mortgage Setup'!B9/12))))</f>
        <v>1816.07</v>
      </c>
      <c r="D96" s="35">
        <f>IF(A96="",0,IF(G95&lt;=0,0,MIN(C96-E96,G95)))</f>
        <v>468.23</v>
      </c>
      <c r="E96" s="35">
        <f>IF(A96="",0,IF(G95&lt;=0,0,ROUND(G95*('Mortgage Setup'!B9/12),2)))</f>
        <v>1347.84</v>
      </c>
      <c r="F96" s="35">
        <f>IF(A96="",0,IF(G95&lt;=0,0,MIN('Mortgage Setup'!B12,MAX(G95-D96,0))))</f>
        <v>100</v>
      </c>
      <c r="G96" s="35">
        <f>IF(A96="",0,MAX(G95-D96-F96,0))</f>
        <v>239047.54</v>
      </c>
      <c r="H96" s="35">
        <f>IF(A96="",0,H95+E96)</f>
        <v>135325.97999999998</v>
      </c>
    </row>
    <row r="97" ht="26" customHeight="1" spans="1:8" x14ac:dyDescent="0.25">
      <c r="A97" s="30">
        <f>IF(G96&gt;0,93,"")</f>
        <v>93</v>
      </c>
      <c r="B97" s="31">
        <f>IF(A97="","",DATE(YEAR('Mortgage Setup'!B11),MONTH('Mortgage Setup'!B11)+92,DAY('Mortgage Setup'!B11)))</f>
        <v>48823</v>
      </c>
      <c r="C97" s="32">
        <f>IF(A97="",0,IF(G96&lt;=0,0,MIN('Mortgage Setup'!B21,G96*(1+'Mortgage Setup'!B9/12))))</f>
        <v>1816.07</v>
      </c>
      <c r="D97" s="32">
        <f>IF(A97="",0,IF(G96&lt;=0,0,MIN(C97-E97,G96)))</f>
        <v>471.43</v>
      </c>
      <c r="E97" s="32">
        <f>IF(A97="",0,IF(G96&lt;=0,0,ROUND(G96*('Mortgage Setup'!B9/12),2)))</f>
        <v>1344.64</v>
      </c>
      <c r="F97" s="32">
        <f>IF(A97="",0,IF(G96&lt;=0,0,MIN('Mortgage Setup'!B12,MAX(G96-D97,0))))</f>
        <v>100</v>
      </c>
      <c r="G97" s="32">
        <f>IF(A97="",0,MAX(G96-D97-F97,0))</f>
        <v>238476.11</v>
      </c>
      <c r="H97" s="32">
        <f>IF(A97="",0,H96+E97)</f>
        <v>136670.62</v>
      </c>
    </row>
    <row r="98" ht="26" customHeight="1" spans="1:8" x14ac:dyDescent="0.25">
      <c r="A98" s="33">
        <f>IF(G97&gt;0,94,"")</f>
        <v>94</v>
      </c>
      <c r="B98" s="34">
        <f>IF(A98="","",DATE(YEAR('Mortgage Setup'!B11),MONTH('Mortgage Setup'!B11)+93,DAY('Mortgage Setup'!B11)))</f>
        <v>48853</v>
      </c>
      <c r="C98" s="35">
        <f>IF(A98="",0,IF(G97&lt;=0,0,MIN('Mortgage Setup'!B21,G97*(1+'Mortgage Setup'!B9/12))))</f>
        <v>1816.07</v>
      </c>
      <c r="D98" s="35">
        <f>IF(A98="",0,IF(G97&lt;=0,0,MIN(C98-E98,G97)))</f>
        <v>474.64</v>
      </c>
      <c r="E98" s="35">
        <f>IF(A98="",0,IF(G97&lt;=0,0,ROUND(G97*('Mortgage Setup'!B9/12),2)))</f>
        <v>1341.43</v>
      </c>
      <c r="F98" s="35">
        <f>IF(A98="",0,IF(G97&lt;=0,0,MIN('Mortgage Setup'!B12,MAX(G97-D98,0))))</f>
        <v>100</v>
      </c>
      <c r="G98" s="35">
        <f>IF(A98="",0,MAX(G97-D98-F98,0))</f>
        <v>237901.47</v>
      </c>
      <c r="H98" s="35">
        <f>IF(A98="",0,H97+E98)</f>
        <v>138012.05</v>
      </c>
    </row>
    <row r="99" ht="26" customHeight="1" spans="1:8" x14ac:dyDescent="0.25">
      <c r="A99" s="30">
        <f>IF(G98&gt;0,95,"")</f>
        <v>95</v>
      </c>
      <c r="B99" s="31">
        <f>IF(A99="","",DATE(YEAR('Mortgage Setup'!B11),MONTH('Mortgage Setup'!B11)+94,DAY('Mortgage Setup'!B11)))</f>
        <v>48884</v>
      </c>
      <c r="C99" s="32">
        <f>IF(A99="",0,IF(G98&lt;=0,0,MIN('Mortgage Setup'!B21,G98*(1+'Mortgage Setup'!B9/12))))</f>
        <v>1816.07</v>
      </c>
      <c r="D99" s="32">
        <f>IF(A99="",0,IF(G98&lt;=0,0,MIN(C99-E99,G98)))</f>
        <v>477.87</v>
      </c>
      <c r="E99" s="32">
        <f>IF(A99="",0,IF(G98&lt;=0,0,ROUND(G98*('Mortgage Setup'!B9/12),2)))</f>
        <v>1338.2</v>
      </c>
      <c r="F99" s="32">
        <f>IF(A99="",0,IF(G98&lt;=0,0,MIN('Mortgage Setup'!B12,MAX(G98-D99,0))))</f>
        <v>100</v>
      </c>
      <c r="G99" s="32">
        <f>IF(A99="",0,MAX(G98-D99-F99,0))</f>
        <v>237323.6</v>
      </c>
      <c r="H99" s="32">
        <f>IF(A99="",0,H98+E99)</f>
        <v>139350.25</v>
      </c>
    </row>
    <row r="100" ht="26" customHeight="1" spans="1:8" x14ac:dyDescent="0.25">
      <c r="A100" s="33">
        <f>IF(G99&gt;0,96,"")</f>
        <v>96</v>
      </c>
      <c r="B100" s="34">
        <f>IF(A100="","",DATE(YEAR('Mortgage Setup'!B11),MONTH('Mortgage Setup'!B11)+95,DAY('Mortgage Setup'!B11)))</f>
        <v>48914</v>
      </c>
      <c r="C100" s="35">
        <f>IF(A100="",0,IF(G99&lt;=0,0,MIN('Mortgage Setup'!B21,G99*(1+'Mortgage Setup'!B9/12))))</f>
        <v>1816.07</v>
      </c>
      <c r="D100" s="35">
        <f>IF(A100="",0,IF(G99&lt;=0,0,MIN(C100-E100,G99)))</f>
        <v>481.12</v>
      </c>
      <c r="E100" s="35">
        <f>IF(A100="",0,IF(G99&lt;=0,0,ROUND(G99*('Mortgage Setup'!B9/12),2)))</f>
        <v>1334.95</v>
      </c>
      <c r="F100" s="35">
        <f>IF(A100="",0,IF(G99&lt;=0,0,MIN('Mortgage Setup'!B12,MAX(G99-D100,0))))</f>
        <v>100</v>
      </c>
      <c r="G100" s="35">
        <f>IF(A100="",0,MAX(G99-D100-F100,0))</f>
        <v>236742.48</v>
      </c>
      <c r="H100" s="35">
        <f>IF(A100="",0,H99+E100)</f>
        <v>140685.2</v>
      </c>
    </row>
    <row r="101" ht="26" customHeight="1" spans="1:8" x14ac:dyDescent="0.25">
      <c r="A101" s="30">
        <f>IF(G100&gt;0,97,"")</f>
        <v>97</v>
      </c>
      <c r="B101" s="31">
        <f>IF(A101="","",DATE(YEAR('Mortgage Setup'!B11),MONTH('Mortgage Setup'!B11)+96,DAY('Mortgage Setup'!B11)))</f>
        <v>48945</v>
      </c>
      <c r="C101" s="32">
        <f>IF(A101="",0,IF(G100&lt;=0,0,MIN('Mortgage Setup'!B21,G100*(1+'Mortgage Setup'!B9/12))))</f>
        <v>1816.07</v>
      </c>
      <c r="D101" s="32">
        <f>IF(A101="",0,IF(G100&lt;=0,0,MIN(C101-E101,G100)))</f>
        <v>484.39</v>
      </c>
      <c r="E101" s="32">
        <f>IF(A101="",0,IF(G100&lt;=0,0,ROUND(G100*('Mortgage Setup'!B9/12),2)))</f>
        <v>1331.68</v>
      </c>
      <c r="F101" s="32">
        <f>IF(A101="",0,IF(G100&lt;=0,0,MIN('Mortgage Setup'!B12,MAX(G100-D101,0))))</f>
        <v>100</v>
      </c>
      <c r="G101" s="32">
        <f>IF(A101="",0,MAX(G100-D101-F101,0))</f>
        <v>236158.09</v>
      </c>
      <c r="H101" s="32">
        <f>IF(A101="",0,H100+E101)</f>
        <v>142016.88</v>
      </c>
    </row>
    <row r="102" ht="26" customHeight="1" spans="1:8" x14ac:dyDescent="0.25">
      <c r="A102" s="33">
        <f>IF(G101&gt;0,98,"")</f>
        <v>98</v>
      </c>
      <c r="B102" s="34">
        <f>IF(A102="","",DATE(YEAR('Mortgage Setup'!B11),MONTH('Mortgage Setup'!B11)+97,DAY('Mortgage Setup'!B11)))</f>
        <v>48976</v>
      </c>
      <c r="C102" s="35">
        <f>IF(A102="",0,IF(G101&lt;=0,0,MIN('Mortgage Setup'!B21,G101*(1+'Mortgage Setup'!B9/12))))</f>
        <v>1816.07</v>
      </c>
      <c r="D102" s="35">
        <f>IF(A102="",0,IF(G101&lt;=0,0,MIN(C102-E102,G101)))</f>
        <v>487.68</v>
      </c>
      <c r="E102" s="35">
        <f>IF(A102="",0,IF(G101&lt;=0,0,ROUND(G101*('Mortgage Setup'!B9/12),2)))</f>
        <v>1328.39</v>
      </c>
      <c r="F102" s="35">
        <f>IF(A102="",0,IF(G101&lt;=0,0,MIN('Mortgage Setup'!B12,MAX(G101-D102,0))))</f>
        <v>100</v>
      </c>
      <c r="G102" s="35">
        <f>IF(A102="",0,MAX(G101-D102-F102,0))</f>
        <v>235570.41</v>
      </c>
      <c r="H102" s="35">
        <f>IF(A102="",0,H101+E102)</f>
        <v>143345.27000000002</v>
      </c>
    </row>
    <row r="103" ht="26" customHeight="1" spans="1:8" x14ac:dyDescent="0.25">
      <c r="A103" s="30">
        <f>IF(G102&gt;0,99,"")</f>
        <v>99</v>
      </c>
      <c r="B103" s="31">
        <f>IF(A103="","",DATE(YEAR('Mortgage Setup'!B11),MONTH('Mortgage Setup'!B11)+98,DAY('Mortgage Setup'!B11)))</f>
        <v>49004</v>
      </c>
      <c r="C103" s="32">
        <f>IF(A103="",0,IF(G102&lt;=0,0,MIN('Mortgage Setup'!B21,G102*(1+'Mortgage Setup'!B9/12))))</f>
        <v>1816.07</v>
      </c>
      <c r="D103" s="32">
        <f>IF(A103="",0,IF(G102&lt;=0,0,MIN(C103-E103,G102)))</f>
        <v>490.99</v>
      </c>
      <c r="E103" s="32">
        <f>IF(A103="",0,IF(G102&lt;=0,0,ROUND(G102*('Mortgage Setup'!B9/12),2)))</f>
        <v>1325.08</v>
      </c>
      <c r="F103" s="32">
        <f>IF(A103="",0,IF(G102&lt;=0,0,MIN('Mortgage Setup'!B12,MAX(G102-D103,0))))</f>
        <v>100</v>
      </c>
      <c r="G103" s="32">
        <f>IF(A103="",0,MAX(G102-D103-F103,0))</f>
        <v>234979.42</v>
      </c>
      <c r="H103" s="32">
        <f>IF(A103="",0,H102+E103)</f>
        <v>144670.35</v>
      </c>
    </row>
    <row r="104" ht="26" customHeight="1" spans="1:8" x14ac:dyDescent="0.25">
      <c r="A104" s="33">
        <f>IF(G103&gt;0,100,"")</f>
        <v>100</v>
      </c>
      <c r="B104" s="34">
        <f>IF(A104="","",DATE(YEAR('Mortgage Setup'!B11),MONTH('Mortgage Setup'!B11)+99,DAY('Mortgage Setup'!B11)))</f>
        <v>49035</v>
      </c>
      <c r="C104" s="35">
        <f>IF(A104="",0,IF(G103&lt;=0,0,MIN('Mortgage Setup'!B21,G103*(1+'Mortgage Setup'!B9/12))))</f>
        <v>1816.07</v>
      </c>
      <c r="D104" s="35">
        <f>IF(A104="",0,IF(G103&lt;=0,0,MIN(C104-E104,G103)))</f>
        <v>494.31</v>
      </c>
      <c r="E104" s="35">
        <f>IF(A104="",0,IF(G103&lt;=0,0,ROUND(G103*('Mortgage Setup'!B9/12),2)))</f>
        <v>1321.76</v>
      </c>
      <c r="F104" s="35">
        <f>IF(A104="",0,IF(G103&lt;=0,0,MIN('Mortgage Setup'!B12,MAX(G103-D104,0))))</f>
        <v>100</v>
      </c>
      <c r="G104" s="35">
        <f>IF(A104="",0,MAX(G103-D104-F104,0))</f>
        <v>234385.11</v>
      </c>
      <c r="H104" s="35">
        <f>IF(A104="",0,H103+E104)</f>
        <v>145992.11000000002</v>
      </c>
    </row>
    <row r="105" ht="26" customHeight="1" spans="1:8" x14ac:dyDescent="0.25">
      <c r="A105" s="30">
        <f>IF(G104&gt;0,101,"")</f>
        <v>101</v>
      </c>
      <c r="B105" s="31">
        <f>IF(A105="","",DATE(YEAR('Mortgage Setup'!B11),MONTH('Mortgage Setup'!B11)+100,DAY('Mortgage Setup'!B11)))</f>
        <v>49065</v>
      </c>
      <c r="C105" s="32">
        <f>IF(A105="",0,IF(G104&lt;=0,0,MIN('Mortgage Setup'!B21,G104*(1+'Mortgage Setup'!B9/12))))</f>
        <v>1816.07</v>
      </c>
      <c r="D105" s="32">
        <f>IF(A105="",0,IF(G104&lt;=0,0,MIN(C105-E105,G104)))</f>
        <v>497.65</v>
      </c>
      <c r="E105" s="32">
        <f>IF(A105="",0,IF(G104&lt;=0,0,ROUND(G104*('Mortgage Setup'!B9/12),2)))</f>
        <v>1318.42</v>
      </c>
      <c r="F105" s="32">
        <f>IF(A105="",0,IF(G104&lt;=0,0,MIN('Mortgage Setup'!B12,MAX(G104-D105,0))))</f>
        <v>100</v>
      </c>
      <c r="G105" s="32">
        <f>IF(A105="",0,MAX(G104-D105-F105,0))</f>
        <v>233787.46</v>
      </c>
      <c r="H105" s="32">
        <f>IF(A105="",0,H104+E105)</f>
        <v>147310.53000000003</v>
      </c>
    </row>
    <row r="106" ht="26" customHeight="1" spans="1:8" x14ac:dyDescent="0.25">
      <c r="A106" s="33">
        <f>IF(G105&gt;0,102,"")</f>
        <v>102</v>
      </c>
      <c r="B106" s="34">
        <f>IF(A106="","",DATE(YEAR('Mortgage Setup'!B11),MONTH('Mortgage Setup'!B11)+101,DAY('Mortgage Setup'!B11)))</f>
        <v>49096</v>
      </c>
      <c r="C106" s="35">
        <f>IF(A106="",0,IF(G105&lt;=0,0,MIN('Mortgage Setup'!B21,G105*(1+'Mortgage Setup'!B9/12))))</f>
        <v>1816.07</v>
      </c>
      <c r="D106" s="35">
        <f>IF(A106="",0,IF(G105&lt;=0,0,MIN(C106-E106,G105)))</f>
        <v>501.02</v>
      </c>
      <c r="E106" s="35">
        <f>IF(A106="",0,IF(G105&lt;=0,0,ROUND(G105*('Mortgage Setup'!B9/12),2)))</f>
        <v>1315.05</v>
      </c>
      <c r="F106" s="35">
        <f>IF(A106="",0,IF(G105&lt;=0,0,MIN('Mortgage Setup'!B12,MAX(G105-D106,0))))</f>
        <v>100</v>
      </c>
      <c r="G106" s="35">
        <f>IF(A106="",0,MAX(G105-D106-F106,0))</f>
        <v>233186.44</v>
      </c>
      <c r="H106" s="35">
        <f>IF(A106="",0,H105+E106)</f>
        <v>148625.58000000002</v>
      </c>
    </row>
    <row r="107" ht="26" customHeight="1" spans="1:8" x14ac:dyDescent="0.25">
      <c r="A107" s="30">
        <f>IF(G106&gt;0,103,"")</f>
        <v>103</v>
      </c>
      <c r="B107" s="31">
        <f>IF(A107="","",DATE(YEAR('Mortgage Setup'!B11),MONTH('Mortgage Setup'!B11)+102,DAY('Mortgage Setup'!B11)))</f>
        <v>49126</v>
      </c>
      <c r="C107" s="32">
        <f>IF(A107="",0,IF(G106&lt;=0,0,MIN('Mortgage Setup'!B21,G106*(1+'Mortgage Setup'!B9/12))))</f>
        <v>1816.07</v>
      </c>
      <c r="D107" s="32">
        <f>IF(A107="",0,IF(G106&lt;=0,0,MIN(C107-E107,G106)))</f>
        <v>504.4</v>
      </c>
      <c r="E107" s="32">
        <f>IF(A107="",0,IF(G106&lt;=0,0,ROUND(G106*('Mortgage Setup'!B9/12),2)))</f>
        <v>1311.67</v>
      </c>
      <c r="F107" s="32">
        <f>IF(A107="",0,IF(G106&lt;=0,0,MIN('Mortgage Setup'!B12,MAX(G106-D107,0))))</f>
        <v>100</v>
      </c>
      <c r="G107" s="32">
        <f>IF(A107="",0,MAX(G106-D107-F107,0))</f>
        <v>232582.04</v>
      </c>
      <c r="H107" s="32">
        <f>IF(A107="",0,H106+E107)</f>
        <v>149937.25000000003</v>
      </c>
    </row>
    <row r="108" ht="26" customHeight="1" spans="1:8" x14ac:dyDescent="0.25">
      <c r="A108" s="33">
        <f>IF(G107&gt;0,104,"")</f>
        <v>104</v>
      </c>
      <c r="B108" s="34">
        <f>IF(A108="","",DATE(YEAR('Mortgage Setup'!B11),MONTH('Mortgage Setup'!B11)+103,DAY('Mortgage Setup'!B11)))</f>
        <v>49157</v>
      </c>
      <c r="C108" s="35">
        <f>IF(A108="",0,IF(G107&lt;=0,0,MIN('Mortgage Setup'!B21,G107*(1+'Mortgage Setup'!B9/12))))</f>
        <v>1816.07</v>
      </c>
      <c r="D108" s="35">
        <f>IF(A108="",0,IF(G107&lt;=0,0,MIN(C108-E108,G107)))</f>
        <v>507.8</v>
      </c>
      <c r="E108" s="35">
        <f>IF(A108="",0,IF(G107&lt;=0,0,ROUND(G107*('Mortgage Setup'!B9/12),2)))</f>
        <v>1308.27</v>
      </c>
      <c r="F108" s="35">
        <f>IF(A108="",0,IF(G107&lt;=0,0,MIN('Mortgage Setup'!B12,MAX(G107-D108,0))))</f>
        <v>100</v>
      </c>
      <c r="G108" s="35">
        <f>IF(A108="",0,MAX(G107-D108-F108,0))</f>
        <v>231974.24</v>
      </c>
      <c r="H108" s="35">
        <f>IF(A108="",0,H107+E108)</f>
        <v>151245.52000000002</v>
      </c>
    </row>
    <row r="109" ht="26" customHeight="1" spans="1:8" x14ac:dyDescent="0.25">
      <c r="A109" s="30">
        <f>IF(G108&gt;0,105,"")</f>
        <v>105</v>
      </c>
      <c r="B109" s="31">
        <f>IF(A109="","",DATE(YEAR('Mortgage Setup'!B11),MONTH('Mortgage Setup'!B11)+104,DAY('Mortgage Setup'!B11)))</f>
        <v>49188</v>
      </c>
      <c r="C109" s="32">
        <f>IF(A109="",0,IF(G108&lt;=0,0,MIN('Mortgage Setup'!B21,G108*(1+'Mortgage Setup'!B9/12))))</f>
        <v>1816.07</v>
      </c>
      <c r="D109" s="32">
        <f>IF(A109="",0,IF(G108&lt;=0,0,MIN(C109-E109,G108)))</f>
        <v>511.21</v>
      </c>
      <c r="E109" s="32">
        <f>IF(A109="",0,IF(G108&lt;=0,0,ROUND(G108*('Mortgage Setup'!B9/12),2)))</f>
        <v>1304.86</v>
      </c>
      <c r="F109" s="32">
        <f>IF(A109="",0,IF(G108&lt;=0,0,MIN('Mortgage Setup'!B12,MAX(G108-D109,0))))</f>
        <v>100</v>
      </c>
      <c r="G109" s="32">
        <f>IF(A109="",0,MAX(G108-D109-F109,0))</f>
        <v>231363.03</v>
      </c>
      <c r="H109" s="32">
        <f>IF(A109="",0,H108+E109)</f>
        <v>152550.38</v>
      </c>
    </row>
    <row r="110" ht="26" customHeight="1" spans="1:8" x14ac:dyDescent="0.25">
      <c r="A110" s="33">
        <f>IF(G109&gt;0,106,"")</f>
        <v>106</v>
      </c>
      <c r="B110" s="34">
        <f>IF(A110="","",DATE(YEAR('Mortgage Setup'!B11),MONTH('Mortgage Setup'!B11)+105,DAY('Mortgage Setup'!B11)))</f>
        <v>49218</v>
      </c>
      <c r="C110" s="35">
        <f>IF(A110="",0,IF(G109&lt;=0,0,MIN('Mortgage Setup'!B21,G109*(1+'Mortgage Setup'!B9/12))))</f>
        <v>1816.07</v>
      </c>
      <c r="D110" s="35">
        <f>IF(A110="",0,IF(G109&lt;=0,0,MIN(C110-E110,G109)))</f>
        <v>514.65</v>
      </c>
      <c r="E110" s="35">
        <f>IF(A110="",0,IF(G109&lt;=0,0,ROUND(G109*('Mortgage Setup'!B9/12),2)))</f>
        <v>1301.42</v>
      </c>
      <c r="F110" s="35">
        <f>IF(A110="",0,IF(G109&lt;=0,0,MIN('Mortgage Setup'!B12,MAX(G109-D110,0))))</f>
        <v>100</v>
      </c>
      <c r="G110" s="35">
        <f>IF(A110="",0,MAX(G109-D110-F110,0))</f>
        <v>230748.38</v>
      </c>
      <c r="H110" s="35">
        <f>IF(A110="",0,H109+E110)</f>
        <v>153851.80000000002</v>
      </c>
    </row>
    <row r="111" ht="26" customHeight="1" spans="1:8" x14ac:dyDescent="0.25">
      <c r="A111" s="30">
        <f>IF(G110&gt;0,107,"")</f>
        <v>107</v>
      </c>
      <c r="B111" s="31">
        <f>IF(A111="","",DATE(YEAR('Mortgage Setup'!B11),MONTH('Mortgage Setup'!B11)+106,DAY('Mortgage Setup'!B11)))</f>
        <v>49249</v>
      </c>
      <c r="C111" s="32">
        <f>IF(A111="",0,IF(G110&lt;=0,0,MIN('Mortgage Setup'!B21,G110*(1+'Mortgage Setup'!B9/12))))</f>
        <v>1816.07</v>
      </c>
      <c r="D111" s="32">
        <f>IF(A111="",0,IF(G110&lt;=0,0,MIN(C111-E111,G110)))</f>
        <v>518.11</v>
      </c>
      <c r="E111" s="32">
        <f>IF(A111="",0,IF(G110&lt;=0,0,ROUND(G110*('Mortgage Setup'!B9/12),2)))</f>
        <v>1297.96</v>
      </c>
      <c r="F111" s="32">
        <f>IF(A111="",0,IF(G110&lt;=0,0,MIN('Mortgage Setup'!B12,MAX(G110-D111,0))))</f>
        <v>100</v>
      </c>
      <c r="G111" s="32">
        <f>IF(A111="",0,MAX(G110-D111-F111,0))</f>
        <v>230130.27</v>
      </c>
      <c r="H111" s="32">
        <f>IF(A111="",0,H110+E111)</f>
        <v>155149.76</v>
      </c>
    </row>
    <row r="112" ht="26" customHeight="1" spans="1:8" x14ac:dyDescent="0.25">
      <c r="A112" s="33">
        <f>IF(G111&gt;0,108,"")</f>
        <v>108</v>
      </c>
      <c r="B112" s="34">
        <f>IF(A112="","",DATE(YEAR('Mortgage Setup'!B11),MONTH('Mortgage Setup'!B11)+107,DAY('Mortgage Setup'!B11)))</f>
        <v>49279</v>
      </c>
      <c r="C112" s="35">
        <f>IF(A112="",0,IF(G111&lt;=0,0,MIN('Mortgage Setup'!B21,G111*(1+'Mortgage Setup'!B9/12))))</f>
        <v>1816.07</v>
      </c>
      <c r="D112" s="35">
        <f>IF(A112="",0,IF(G111&lt;=0,0,MIN(C112-E112,G111)))</f>
        <v>521.59</v>
      </c>
      <c r="E112" s="35">
        <f>IF(A112="",0,IF(G111&lt;=0,0,ROUND(G111*('Mortgage Setup'!B9/12),2)))</f>
        <v>1294.48</v>
      </c>
      <c r="F112" s="35">
        <f>IF(A112="",0,IF(G111&lt;=0,0,MIN('Mortgage Setup'!B12,MAX(G111-D112,0))))</f>
        <v>100</v>
      </c>
      <c r="G112" s="35">
        <f>IF(A112="",0,MAX(G111-D112-F112,0))</f>
        <v>229508.68</v>
      </c>
      <c r="H112" s="35">
        <f>IF(A112="",0,H111+E112)</f>
        <v>156444.24000000002</v>
      </c>
    </row>
    <row r="113" ht="26" customHeight="1" spans="1:8" x14ac:dyDescent="0.25">
      <c r="A113" s="30">
        <f>IF(G112&gt;0,109,"")</f>
        <v>109</v>
      </c>
      <c r="B113" s="31">
        <f>IF(A113="","",DATE(YEAR('Mortgage Setup'!B11),MONTH('Mortgage Setup'!B11)+108,DAY('Mortgage Setup'!B11)))</f>
        <v>49310</v>
      </c>
      <c r="C113" s="32">
        <f>IF(A113="",0,IF(G112&lt;=0,0,MIN('Mortgage Setup'!B21,G112*(1+'Mortgage Setup'!B9/12))))</f>
        <v>1816.07</v>
      </c>
      <c r="D113" s="32">
        <f>IF(A113="",0,IF(G112&lt;=0,0,MIN(C113-E113,G112)))</f>
        <v>525.08</v>
      </c>
      <c r="E113" s="32">
        <f>IF(A113="",0,IF(G112&lt;=0,0,ROUND(G112*('Mortgage Setup'!B9/12),2)))</f>
        <v>1290.99</v>
      </c>
      <c r="F113" s="32">
        <f>IF(A113="",0,IF(G112&lt;=0,0,MIN('Mortgage Setup'!B12,MAX(G112-D113,0))))</f>
        <v>100</v>
      </c>
      <c r="G113" s="32">
        <f>IF(A113="",0,MAX(G112-D113-F113,0))</f>
        <v>228883.6</v>
      </c>
      <c r="H113" s="32">
        <f>IF(A113="",0,H112+E113)</f>
        <v>157735.23</v>
      </c>
    </row>
    <row r="114" ht="26" customHeight="1" spans="1:8" x14ac:dyDescent="0.25">
      <c r="A114" s="33">
        <f>IF(G113&gt;0,110,"")</f>
        <v>110</v>
      </c>
      <c r="B114" s="34">
        <f>IF(A114="","",DATE(YEAR('Mortgage Setup'!B11),MONTH('Mortgage Setup'!B11)+109,DAY('Mortgage Setup'!B11)))</f>
        <v>49341</v>
      </c>
      <c r="C114" s="35">
        <f>IF(A114="",0,IF(G113&lt;=0,0,MIN('Mortgage Setup'!B21,G113*(1+'Mortgage Setup'!B9/12))))</f>
        <v>1816.07</v>
      </c>
      <c r="D114" s="35">
        <f>IF(A114="",0,IF(G113&lt;=0,0,MIN(C114-E114,G113)))</f>
        <v>528.6</v>
      </c>
      <c r="E114" s="35">
        <f>IF(A114="",0,IF(G113&lt;=0,0,ROUND(G113*('Mortgage Setup'!B9/12),2)))</f>
        <v>1287.47</v>
      </c>
      <c r="F114" s="35">
        <f>IF(A114="",0,IF(G113&lt;=0,0,MIN('Mortgage Setup'!B12,MAX(G113-D114,0))))</f>
        <v>100</v>
      </c>
      <c r="G114" s="35">
        <f>IF(A114="",0,MAX(G113-D114-F114,0))</f>
        <v>228255</v>
      </c>
      <c r="H114" s="35">
        <f>IF(A114="",0,H113+E114)</f>
        <v>159022.7</v>
      </c>
    </row>
    <row r="115" ht="26" customHeight="1" spans="1:8" x14ac:dyDescent="0.25">
      <c r="A115" s="30">
        <f>IF(G114&gt;0,111,"")</f>
        <v>111</v>
      </c>
      <c r="B115" s="31">
        <f>IF(A115="","",DATE(YEAR('Mortgage Setup'!B11),MONTH('Mortgage Setup'!B11)+110,DAY('Mortgage Setup'!B11)))</f>
        <v>49369</v>
      </c>
      <c r="C115" s="32">
        <f>IF(A115="",0,IF(G114&lt;=0,0,MIN('Mortgage Setup'!B21,G114*(1+'Mortgage Setup'!B9/12))))</f>
        <v>1816.07</v>
      </c>
      <c r="D115" s="32">
        <f>IF(A115="",0,IF(G114&lt;=0,0,MIN(C115-E115,G114)))</f>
        <v>532.14</v>
      </c>
      <c r="E115" s="32">
        <f>IF(A115="",0,IF(G114&lt;=0,0,ROUND(G114*('Mortgage Setup'!B9/12),2)))</f>
        <v>1283.93</v>
      </c>
      <c r="F115" s="32">
        <f>IF(A115="",0,IF(G114&lt;=0,0,MIN('Mortgage Setup'!B12,MAX(G114-D115,0))))</f>
        <v>100</v>
      </c>
      <c r="G115" s="32">
        <f>IF(A115="",0,MAX(G114-D115-F115,0))</f>
        <v>227622.86</v>
      </c>
      <c r="H115" s="32">
        <f>IF(A115="",0,H114+E115)</f>
        <v>160306.63</v>
      </c>
    </row>
    <row r="116" ht="26" customHeight="1" spans="1:8" x14ac:dyDescent="0.25">
      <c r="A116" s="33">
        <f>IF(G115&gt;0,112,"")</f>
        <v>112</v>
      </c>
      <c r="B116" s="34">
        <f>IF(A116="","",DATE(YEAR('Mortgage Setup'!B11),MONTH('Mortgage Setup'!B11)+111,DAY('Mortgage Setup'!B11)))</f>
        <v>49400</v>
      </c>
      <c r="C116" s="35">
        <f>IF(A116="",0,IF(G115&lt;=0,0,MIN('Mortgage Setup'!B21,G115*(1+'Mortgage Setup'!B9/12))))</f>
        <v>1816.07</v>
      </c>
      <c r="D116" s="35">
        <f>IF(A116="",0,IF(G115&lt;=0,0,MIN(C116-E116,G115)))</f>
        <v>535.69</v>
      </c>
      <c r="E116" s="35">
        <f>IF(A116="",0,IF(G115&lt;=0,0,ROUND(G115*('Mortgage Setup'!B9/12),2)))</f>
        <v>1280.38</v>
      </c>
      <c r="F116" s="35">
        <f>IF(A116="",0,IF(G115&lt;=0,0,MIN('Mortgage Setup'!B12,MAX(G115-D116,0))))</f>
        <v>100</v>
      </c>
      <c r="G116" s="35">
        <f>IF(A116="",0,MAX(G115-D116-F116,0))</f>
        <v>226987.17</v>
      </c>
      <c r="H116" s="35">
        <f>IF(A116="",0,H115+E116)</f>
        <v>161587.01</v>
      </c>
    </row>
    <row r="117" ht="26" customHeight="1" spans="1:8" x14ac:dyDescent="0.25">
      <c r="A117" s="30">
        <f>IF(G116&gt;0,113,"")</f>
        <v>113</v>
      </c>
      <c r="B117" s="31">
        <f>IF(A117="","",DATE(YEAR('Mortgage Setup'!B11),MONTH('Mortgage Setup'!B11)+112,DAY('Mortgage Setup'!B11)))</f>
        <v>49430</v>
      </c>
      <c r="C117" s="32">
        <f>IF(A117="",0,IF(G116&lt;=0,0,MIN('Mortgage Setup'!B21,G116*(1+'Mortgage Setup'!B9/12))))</f>
        <v>1816.07</v>
      </c>
      <c r="D117" s="32">
        <f>IF(A117="",0,IF(G116&lt;=0,0,MIN(C117-E117,G116)))</f>
        <v>539.27</v>
      </c>
      <c r="E117" s="32">
        <f>IF(A117="",0,IF(G116&lt;=0,0,ROUND(G116*('Mortgage Setup'!B9/12),2)))</f>
        <v>1276.8</v>
      </c>
      <c r="F117" s="32">
        <f>IF(A117="",0,IF(G116&lt;=0,0,MIN('Mortgage Setup'!B12,MAX(G116-D117,0))))</f>
        <v>100</v>
      </c>
      <c r="G117" s="32">
        <f>IF(A117="",0,MAX(G116-D117-F117,0))</f>
        <v>226347.9</v>
      </c>
      <c r="H117" s="32">
        <f>IF(A117="",0,H116+E117)</f>
        <v>162863.81</v>
      </c>
    </row>
    <row r="118" ht="26" customHeight="1" spans="1:8" x14ac:dyDescent="0.25">
      <c r="A118" s="33">
        <f>IF(G117&gt;0,114,"")</f>
        <v>114</v>
      </c>
      <c r="B118" s="34">
        <f>IF(A118="","",DATE(YEAR('Mortgage Setup'!B11),MONTH('Mortgage Setup'!B11)+113,DAY('Mortgage Setup'!B11)))</f>
        <v>49461</v>
      </c>
      <c r="C118" s="35">
        <f>IF(A118="",0,IF(G117&lt;=0,0,MIN('Mortgage Setup'!B21,G117*(1+'Mortgage Setup'!B9/12))))</f>
        <v>1816.07</v>
      </c>
      <c r="D118" s="35">
        <f>IF(A118="",0,IF(G117&lt;=0,0,MIN(C118-E118,G117)))</f>
        <v>542.86</v>
      </c>
      <c r="E118" s="35">
        <f>IF(A118="",0,IF(G117&lt;=0,0,ROUND(G117*('Mortgage Setup'!B9/12),2)))</f>
        <v>1273.21</v>
      </c>
      <c r="F118" s="35">
        <f>IF(A118="",0,IF(G117&lt;=0,0,MIN('Mortgage Setup'!B12,MAX(G117-D118,0))))</f>
        <v>100</v>
      </c>
      <c r="G118" s="35">
        <f>IF(A118="",0,MAX(G117-D118-F118,0))</f>
        <v>225705.04</v>
      </c>
      <c r="H118" s="35">
        <f>IF(A118="",0,H117+E118)</f>
        <v>164137.02</v>
      </c>
    </row>
    <row r="119" ht="26" customHeight="1" spans="1:8" x14ac:dyDescent="0.25">
      <c r="A119" s="30">
        <f>IF(G118&gt;0,115,"")</f>
        <v>115</v>
      </c>
      <c r="B119" s="31">
        <f>IF(A119="","",DATE(YEAR('Mortgage Setup'!B11),MONTH('Mortgage Setup'!B11)+114,DAY('Mortgage Setup'!B11)))</f>
        <v>49491</v>
      </c>
      <c r="C119" s="32">
        <f>IF(A119="",0,IF(G118&lt;=0,0,MIN('Mortgage Setup'!B21,G118*(1+'Mortgage Setup'!B9/12))))</f>
        <v>1816.07</v>
      </c>
      <c r="D119" s="32">
        <f>IF(A119="",0,IF(G118&lt;=0,0,MIN(C119-E119,G118)))</f>
        <v>546.48</v>
      </c>
      <c r="E119" s="32">
        <f>IF(A119="",0,IF(G118&lt;=0,0,ROUND(G118*('Mortgage Setup'!B9/12),2)))</f>
        <v>1269.59</v>
      </c>
      <c r="F119" s="32">
        <f>IF(A119="",0,IF(G118&lt;=0,0,MIN('Mortgage Setup'!B12,MAX(G118-D119,0))))</f>
        <v>100</v>
      </c>
      <c r="G119" s="32">
        <f>IF(A119="",0,MAX(G118-D119-F119,0))</f>
        <v>225058.56</v>
      </c>
      <c r="H119" s="32">
        <f>IF(A119="",0,H118+E119)</f>
        <v>165406.61</v>
      </c>
    </row>
    <row r="120" ht="26" customHeight="1" spans="1:8" x14ac:dyDescent="0.25">
      <c r="A120" s="33">
        <f>IF(G119&gt;0,116,"")</f>
        <v>116</v>
      </c>
      <c r="B120" s="34">
        <f>IF(A120="","",DATE(YEAR('Mortgage Setup'!B11),MONTH('Mortgage Setup'!B11)+115,DAY('Mortgage Setup'!B11)))</f>
        <v>49522</v>
      </c>
      <c r="C120" s="35">
        <f>IF(A120="",0,IF(G119&lt;=0,0,MIN('Mortgage Setup'!B21,G119*(1+'Mortgage Setup'!B9/12))))</f>
        <v>1816.07</v>
      </c>
      <c r="D120" s="35">
        <f>IF(A120="",0,IF(G119&lt;=0,0,MIN(C120-E120,G119)))</f>
        <v>550.12</v>
      </c>
      <c r="E120" s="35">
        <f>IF(A120="",0,IF(G119&lt;=0,0,ROUND(G119*('Mortgage Setup'!B9/12),2)))</f>
        <v>1265.95</v>
      </c>
      <c r="F120" s="35">
        <f>IF(A120="",0,IF(G119&lt;=0,0,MIN('Mortgage Setup'!B12,MAX(G119-D120,0))))</f>
        <v>100</v>
      </c>
      <c r="G120" s="35">
        <f>IF(A120="",0,MAX(G119-D120-F120,0))</f>
        <v>224408.44</v>
      </c>
      <c r="H120" s="35">
        <f>IF(A120="",0,H119+E120)</f>
        <v>166672.56</v>
      </c>
    </row>
    <row r="121" ht="26" customHeight="1" spans="1:8" x14ac:dyDescent="0.25">
      <c r="A121" s="30">
        <f>IF(G120&gt;0,117,"")</f>
        <v>117</v>
      </c>
      <c r="B121" s="31">
        <f>IF(A121="","",DATE(YEAR('Mortgage Setup'!B11),MONTH('Mortgage Setup'!B11)+116,DAY('Mortgage Setup'!B11)))</f>
        <v>49553</v>
      </c>
      <c r="C121" s="32">
        <f>IF(A121="",0,IF(G120&lt;=0,0,MIN('Mortgage Setup'!B21,G120*(1+'Mortgage Setup'!B9/12))))</f>
        <v>1816.07</v>
      </c>
      <c r="D121" s="32">
        <f>IF(A121="",0,IF(G120&lt;=0,0,MIN(C121-E121,G120)))</f>
        <v>553.77</v>
      </c>
      <c r="E121" s="32">
        <f>IF(A121="",0,IF(G120&lt;=0,0,ROUND(G120*('Mortgage Setup'!B9/12),2)))</f>
        <v>1262.3</v>
      </c>
      <c r="F121" s="32">
        <f>IF(A121="",0,IF(G120&lt;=0,0,MIN('Mortgage Setup'!B12,MAX(G120-D121,0))))</f>
        <v>100</v>
      </c>
      <c r="G121" s="32">
        <f>IF(A121="",0,MAX(G120-D121-F121,0))</f>
        <v>223754.67</v>
      </c>
      <c r="H121" s="32">
        <f>IF(A121="",0,H120+E121)</f>
        <v>167934.86</v>
      </c>
    </row>
    <row r="122" ht="26" customHeight="1" spans="1:8" x14ac:dyDescent="0.25">
      <c r="A122" s="33">
        <f>IF(G121&gt;0,118,"")</f>
        <v>118</v>
      </c>
      <c r="B122" s="34">
        <f>IF(A122="","",DATE(YEAR('Mortgage Setup'!B11),MONTH('Mortgage Setup'!B11)+117,DAY('Mortgage Setup'!B11)))</f>
        <v>49583</v>
      </c>
      <c r="C122" s="35">
        <f>IF(A122="",0,IF(G121&lt;=0,0,MIN('Mortgage Setup'!B21,G121*(1+'Mortgage Setup'!B9/12))))</f>
        <v>1816.07</v>
      </c>
      <c r="D122" s="35">
        <f>IF(A122="",0,IF(G121&lt;=0,0,MIN(C122-E122,G121)))</f>
        <v>557.45</v>
      </c>
      <c r="E122" s="35">
        <f>IF(A122="",0,IF(G121&lt;=0,0,ROUND(G121*('Mortgage Setup'!B9/12),2)))</f>
        <v>1258.62</v>
      </c>
      <c r="F122" s="35">
        <f>IF(A122="",0,IF(G121&lt;=0,0,MIN('Mortgage Setup'!B12,MAX(G121-D122,0))))</f>
        <v>100</v>
      </c>
      <c r="G122" s="35">
        <f>IF(A122="",0,MAX(G121-D122-F122,0))</f>
        <v>223097.22</v>
      </c>
      <c r="H122" s="35">
        <f>IF(A122="",0,H121+E122)</f>
        <v>169193.47999999998</v>
      </c>
    </row>
    <row r="123" ht="26" customHeight="1" spans="1:8" x14ac:dyDescent="0.25">
      <c r="A123" s="30">
        <f>IF(G122&gt;0,119,"")</f>
        <v>119</v>
      </c>
      <c r="B123" s="31">
        <f>IF(A123="","",DATE(YEAR('Mortgage Setup'!B11),MONTH('Mortgage Setup'!B11)+118,DAY('Mortgage Setup'!B11)))</f>
        <v>49614</v>
      </c>
      <c r="C123" s="32">
        <f>IF(A123="",0,IF(G122&lt;=0,0,MIN('Mortgage Setup'!B21,G122*(1+'Mortgage Setup'!B9/12))))</f>
        <v>1816.07</v>
      </c>
      <c r="D123" s="32">
        <f>IF(A123="",0,IF(G122&lt;=0,0,MIN(C123-E123,G122)))</f>
        <v>561.15</v>
      </c>
      <c r="E123" s="32">
        <f>IF(A123="",0,IF(G122&lt;=0,0,ROUND(G122*('Mortgage Setup'!B9/12),2)))</f>
        <v>1254.92</v>
      </c>
      <c r="F123" s="32">
        <f>IF(A123="",0,IF(G122&lt;=0,0,MIN('Mortgage Setup'!B12,MAX(G122-D123,0))))</f>
        <v>100</v>
      </c>
      <c r="G123" s="32">
        <f>IF(A123="",0,MAX(G122-D123-F123,0))</f>
        <v>222436.07</v>
      </c>
      <c r="H123" s="32">
        <f>IF(A123="",0,H122+E123)</f>
        <v>170448.4</v>
      </c>
    </row>
    <row r="124" ht="26" customHeight="1" spans="1:8" x14ac:dyDescent="0.25">
      <c r="A124" s="33">
        <f>IF(G123&gt;0,120,"")</f>
        <v>120</v>
      </c>
      <c r="B124" s="34">
        <f>IF(A124="","",DATE(YEAR('Mortgage Setup'!B11),MONTH('Mortgage Setup'!B11)+119,DAY('Mortgage Setup'!B11)))</f>
        <v>49644</v>
      </c>
      <c r="C124" s="35">
        <f>IF(A124="",0,IF(G123&lt;=0,0,MIN('Mortgage Setup'!B21,G123*(1+'Mortgage Setup'!B9/12))))</f>
        <v>1816.07</v>
      </c>
      <c r="D124" s="35">
        <f>IF(A124="",0,IF(G123&lt;=0,0,MIN(C124-E124,G123)))</f>
        <v>564.87</v>
      </c>
      <c r="E124" s="35">
        <f>IF(A124="",0,IF(G123&lt;=0,0,ROUND(G123*('Mortgage Setup'!B9/12),2)))</f>
        <v>1251.2</v>
      </c>
      <c r="F124" s="35">
        <f>IF(A124="",0,IF(G123&lt;=0,0,MIN('Mortgage Setup'!B12,MAX(G123-D124,0))))</f>
        <v>100</v>
      </c>
      <c r="G124" s="35">
        <f>IF(A124="",0,MAX(G123-D124-F124,0))</f>
        <v>221771.2</v>
      </c>
      <c r="H124" s="35">
        <f>IF(A124="",0,H123+E124)</f>
        <v>171699.6</v>
      </c>
    </row>
    <row r="125" ht="26" customHeight="1" spans="1:8" x14ac:dyDescent="0.25">
      <c r="A125" s="30">
        <f>IF(G124&gt;0,121,"")</f>
        <v>121</v>
      </c>
      <c r="B125" s="31">
        <f>IF(A125="","",DATE(YEAR('Mortgage Setup'!B11),MONTH('Mortgage Setup'!B11)+120,DAY('Mortgage Setup'!B11)))</f>
        <v>49675</v>
      </c>
      <c r="C125" s="32">
        <f>IF(A125="",0,IF(G124&lt;=0,0,MIN('Mortgage Setup'!B21,G124*(1+'Mortgage Setup'!B9/12))))</f>
        <v>1816.07</v>
      </c>
      <c r="D125" s="32">
        <f>IF(A125="",0,IF(G124&lt;=0,0,MIN(C125-E125,G124)))</f>
        <v>568.61</v>
      </c>
      <c r="E125" s="32">
        <f>IF(A125="",0,IF(G124&lt;=0,0,ROUND(G124*('Mortgage Setup'!B9/12),2)))</f>
        <v>1247.46</v>
      </c>
      <c r="F125" s="32">
        <f>IF(A125="",0,IF(G124&lt;=0,0,MIN('Mortgage Setup'!B12,MAX(G124-D125,0))))</f>
        <v>100</v>
      </c>
      <c r="G125" s="32">
        <f>IF(A125="",0,MAX(G124-D125-F125,0))</f>
        <v>221102.59</v>
      </c>
      <c r="H125" s="32">
        <f>IF(A125="",0,H124+E125)</f>
        <v>172947.06</v>
      </c>
    </row>
    <row r="126" ht="26" customHeight="1" spans="1:8" x14ac:dyDescent="0.25">
      <c r="A126" s="33">
        <f>IF(G125&gt;0,122,"")</f>
        <v>122</v>
      </c>
      <c r="B126" s="34">
        <f>IF(A126="","",DATE(YEAR('Mortgage Setup'!B11),MONTH('Mortgage Setup'!B11)+121,DAY('Mortgage Setup'!B11)))</f>
        <v>49706</v>
      </c>
      <c r="C126" s="35">
        <f>IF(A126="",0,IF(G125&lt;=0,0,MIN('Mortgage Setup'!B21,G125*(1+'Mortgage Setup'!B9/12))))</f>
        <v>1816.07</v>
      </c>
      <c r="D126" s="35">
        <f>IF(A126="",0,IF(G125&lt;=0,0,MIN(C126-E126,G125)))</f>
        <v>572.37</v>
      </c>
      <c r="E126" s="35">
        <f>IF(A126="",0,IF(G125&lt;=0,0,ROUND(G125*('Mortgage Setup'!B9/12),2)))</f>
        <v>1243.7</v>
      </c>
      <c r="F126" s="35">
        <f>IF(A126="",0,IF(G125&lt;=0,0,MIN('Mortgage Setup'!B12,MAX(G125-D126,0))))</f>
        <v>100</v>
      </c>
      <c r="G126" s="35">
        <f>IF(A126="",0,MAX(G125-D126-F126,0))</f>
        <v>220430.22</v>
      </c>
      <c r="H126" s="35">
        <f>IF(A126="",0,H125+E126)</f>
        <v>174190.76</v>
      </c>
    </row>
    <row r="127" ht="26" customHeight="1" spans="1:8" x14ac:dyDescent="0.25">
      <c r="A127" s="30">
        <f>IF(G126&gt;0,123,"")</f>
        <v>123</v>
      </c>
      <c r="B127" s="31">
        <f>IF(A127="","",DATE(YEAR('Mortgage Setup'!B11),MONTH('Mortgage Setup'!B11)+122,DAY('Mortgage Setup'!B11)))</f>
        <v>49735</v>
      </c>
      <c r="C127" s="32">
        <f>IF(A127="",0,IF(G126&lt;=0,0,MIN('Mortgage Setup'!B21,G126*(1+'Mortgage Setup'!B9/12))))</f>
        <v>1816.07</v>
      </c>
      <c r="D127" s="32">
        <f>IF(A127="",0,IF(G126&lt;=0,0,MIN(C127-E127,G126)))</f>
        <v>576.15</v>
      </c>
      <c r="E127" s="32">
        <f>IF(A127="",0,IF(G126&lt;=0,0,ROUND(G126*('Mortgage Setup'!B9/12),2)))</f>
        <v>1239.92</v>
      </c>
      <c r="F127" s="32">
        <f>IF(A127="",0,IF(G126&lt;=0,0,MIN('Mortgage Setup'!B12,MAX(G126-D127,0))))</f>
        <v>100</v>
      </c>
      <c r="G127" s="32">
        <f>IF(A127="",0,MAX(G126-D127-F127,0))</f>
        <v>219754.07</v>
      </c>
      <c r="H127" s="32">
        <f>IF(A127="",0,H126+E127)</f>
        <v>175430.68000000002</v>
      </c>
    </row>
    <row r="128" ht="26" customHeight="1" spans="1:8" x14ac:dyDescent="0.25">
      <c r="A128" s="33">
        <f>IF(G127&gt;0,124,"")</f>
        <v>124</v>
      </c>
      <c r="B128" s="34">
        <f>IF(A128="","",DATE(YEAR('Mortgage Setup'!B11),MONTH('Mortgage Setup'!B11)+123,DAY('Mortgage Setup'!B11)))</f>
        <v>49766</v>
      </c>
      <c r="C128" s="35">
        <f>IF(A128="",0,IF(G127&lt;=0,0,MIN('Mortgage Setup'!B21,G127*(1+'Mortgage Setup'!B9/12))))</f>
        <v>1816.07</v>
      </c>
      <c r="D128" s="35">
        <f>IF(A128="",0,IF(G127&lt;=0,0,MIN(C128-E128,G127)))</f>
        <v>579.95</v>
      </c>
      <c r="E128" s="35">
        <f>IF(A128="",0,IF(G127&lt;=0,0,ROUND(G127*('Mortgage Setup'!B9/12),2)))</f>
        <v>1236.12</v>
      </c>
      <c r="F128" s="35">
        <f>IF(A128="",0,IF(G127&lt;=0,0,MIN('Mortgage Setup'!B12,MAX(G127-D128,0))))</f>
        <v>100</v>
      </c>
      <c r="G128" s="35">
        <f>IF(A128="",0,MAX(G127-D128-F128,0))</f>
        <v>219074.12</v>
      </c>
      <c r="H128" s="35">
        <f>IF(A128="",0,H127+E128)</f>
        <v>176666.80000000002</v>
      </c>
    </row>
    <row r="129" ht="26" customHeight="1" spans="1:8" x14ac:dyDescent="0.25">
      <c r="A129" s="30">
        <f>IF(G128&gt;0,125,"")</f>
        <v>125</v>
      </c>
      <c r="B129" s="31">
        <f>IF(A129="","",DATE(YEAR('Mortgage Setup'!B11),MONTH('Mortgage Setup'!B11)+124,DAY('Mortgage Setup'!B11)))</f>
        <v>49796</v>
      </c>
      <c r="C129" s="32">
        <f>IF(A129="",0,IF(G128&lt;=0,0,MIN('Mortgage Setup'!B21,G128*(1+'Mortgage Setup'!B9/12))))</f>
        <v>1816.07</v>
      </c>
      <c r="D129" s="32">
        <f>IF(A129="",0,IF(G128&lt;=0,0,MIN(C129-E129,G128)))</f>
        <v>583.78</v>
      </c>
      <c r="E129" s="32">
        <f>IF(A129="",0,IF(G128&lt;=0,0,ROUND(G128*('Mortgage Setup'!B9/12),2)))</f>
        <v>1232.29</v>
      </c>
      <c r="F129" s="32">
        <f>IF(A129="",0,IF(G128&lt;=0,0,MIN('Mortgage Setup'!B12,MAX(G128-D129,0))))</f>
        <v>100</v>
      </c>
      <c r="G129" s="32">
        <f>IF(A129="",0,MAX(G128-D129-F129,0))</f>
        <v>218390.34</v>
      </c>
      <c r="H129" s="32">
        <f>IF(A129="",0,H128+E129)</f>
        <v>177899.09000000003</v>
      </c>
    </row>
    <row r="130" ht="26" customHeight="1" spans="1:8" x14ac:dyDescent="0.25">
      <c r="A130" s="33">
        <f>IF(G129&gt;0,126,"")</f>
        <v>126</v>
      </c>
      <c r="B130" s="34">
        <f>IF(A130="","",DATE(YEAR('Mortgage Setup'!B11),MONTH('Mortgage Setup'!B11)+125,DAY('Mortgage Setup'!B11)))</f>
        <v>49827</v>
      </c>
      <c r="C130" s="35">
        <f>IF(A130="",0,IF(G129&lt;=0,0,MIN('Mortgage Setup'!B21,G129*(1+'Mortgage Setup'!B9/12))))</f>
        <v>1816.07</v>
      </c>
      <c r="D130" s="35">
        <f>IF(A130="",0,IF(G129&lt;=0,0,MIN(C130-E130,G129)))</f>
        <v>587.62</v>
      </c>
      <c r="E130" s="35">
        <f>IF(A130="",0,IF(G129&lt;=0,0,ROUND(G129*('Mortgage Setup'!B9/12),2)))</f>
        <v>1228.45</v>
      </c>
      <c r="F130" s="35">
        <f>IF(A130="",0,IF(G129&lt;=0,0,MIN('Mortgage Setup'!B12,MAX(G129-D130,0))))</f>
        <v>100</v>
      </c>
      <c r="G130" s="35">
        <f>IF(A130="",0,MAX(G129-D130-F130,0))</f>
        <v>217702.72</v>
      </c>
      <c r="H130" s="35">
        <f>IF(A130="",0,H129+E130)</f>
        <v>179127.54000000004</v>
      </c>
    </row>
    <row r="131" ht="26" customHeight="1" spans="1:8" x14ac:dyDescent="0.25">
      <c r="A131" s="30">
        <f>IF(G130&gt;0,127,"")</f>
        <v>127</v>
      </c>
      <c r="B131" s="31">
        <f>IF(A131="","",DATE(YEAR('Mortgage Setup'!B11),MONTH('Mortgage Setup'!B11)+126,DAY('Mortgage Setup'!B11)))</f>
        <v>49857</v>
      </c>
      <c r="C131" s="32">
        <f>IF(A131="",0,IF(G130&lt;=0,0,MIN('Mortgage Setup'!B21,G130*(1+'Mortgage Setup'!B9/12))))</f>
        <v>1816.07</v>
      </c>
      <c r="D131" s="32">
        <f>IF(A131="",0,IF(G130&lt;=0,0,MIN(C131-E131,G130)))</f>
        <v>591.49</v>
      </c>
      <c r="E131" s="32">
        <f>IF(A131="",0,IF(G130&lt;=0,0,ROUND(G130*('Mortgage Setup'!B9/12),2)))</f>
        <v>1224.58</v>
      </c>
      <c r="F131" s="32">
        <f>IF(A131="",0,IF(G130&lt;=0,0,MIN('Mortgage Setup'!B12,MAX(G130-D131,0))))</f>
        <v>100</v>
      </c>
      <c r="G131" s="32">
        <f>IF(A131="",0,MAX(G130-D131-F131,0))</f>
        <v>217011.23</v>
      </c>
      <c r="H131" s="32">
        <f>IF(A131="",0,H130+E131)</f>
        <v>180352.12000000002</v>
      </c>
    </row>
    <row r="132" ht="26" customHeight="1" spans="1:8" x14ac:dyDescent="0.25">
      <c r="A132" s="33">
        <f>IF(G131&gt;0,128,"")</f>
        <v>128</v>
      </c>
      <c r="B132" s="34">
        <f>IF(A132="","",DATE(YEAR('Mortgage Setup'!B11),MONTH('Mortgage Setup'!B11)+127,DAY('Mortgage Setup'!B11)))</f>
        <v>49888</v>
      </c>
      <c r="C132" s="35">
        <f>IF(A132="",0,IF(G131&lt;=0,0,MIN('Mortgage Setup'!B21,G131*(1+'Mortgage Setup'!B9/12))))</f>
        <v>1816.07</v>
      </c>
      <c r="D132" s="35">
        <f>IF(A132="",0,IF(G131&lt;=0,0,MIN(C132-E132,G131)))</f>
        <v>595.38</v>
      </c>
      <c r="E132" s="35">
        <f>IF(A132="",0,IF(G131&lt;=0,0,ROUND(G131*('Mortgage Setup'!B9/12),2)))</f>
        <v>1220.69</v>
      </c>
      <c r="F132" s="35">
        <f>IF(A132="",0,IF(G131&lt;=0,0,MIN('Mortgage Setup'!B12,MAX(G131-D132,0))))</f>
        <v>100</v>
      </c>
      <c r="G132" s="35">
        <f>IF(A132="",0,MAX(G131-D132-F132,0))</f>
        <v>216315.85</v>
      </c>
      <c r="H132" s="35">
        <f>IF(A132="",0,H131+E132)</f>
        <v>181572.81000000003</v>
      </c>
    </row>
    <row r="133" ht="26" customHeight="1" spans="1:8" x14ac:dyDescent="0.25">
      <c r="A133" s="30">
        <f>IF(G132&gt;0,129,"")</f>
        <v>129</v>
      </c>
      <c r="B133" s="31">
        <f>IF(A133="","",DATE(YEAR('Mortgage Setup'!B11),MONTH('Mortgage Setup'!B11)+128,DAY('Mortgage Setup'!B11)))</f>
        <v>49919</v>
      </c>
      <c r="C133" s="32">
        <f>IF(A133="",0,IF(G132&lt;=0,0,MIN('Mortgage Setup'!B21,G132*(1+'Mortgage Setup'!B9/12))))</f>
        <v>1816.07</v>
      </c>
      <c r="D133" s="32">
        <f>IF(A133="",0,IF(G132&lt;=0,0,MIN(C133-E133,G132)))</f>
        <v>599.29</v>
      </c>
      <c r="E133" s="32">
        <f>IF(A133="",0,IF(G132&lt;=0,0,ROUND(G132*('Mortgage Setup'!B9/12),2)))</f>
        <v>1216.78</v>
      </c>
      <c r="F133" s="32">
        <f>IF(A133="",0,IF(G132&lt;=0,0,MIN('Mortgage Setup'!B12,MAX(G132-D133,0))))</f>
        <v>100</v>
      </c>
      <c r="G133" s="32">
        <f>IF(A133="",0,MAX(G132-D133-F133,0))</f>
        <v>215616.56</v>
      </c>
      <c r="H133" s="32">
        <f>IF(A133="",0,H132+E133)</f>
        <v>182789.59000000003</v>
      </c>
    </row>
    <row r="134" ht="26" customHeight="1" spans="1:8" x14ac:dyDescent="0.25">
      <c r="A134" s="33">
        <f>IF(G133&gt;0,130,"")</f>
        <v>130</v>
      </c>
      <c r="B134" s="34">
        <f>IF(A134="","",DATE(YEAR('Mortgage Setup'!B11),MONTH('Mortgage Setup'!B11)+129,DAY('Mortgage Setup'!B11)))</f>
        <v>49949</v>
      </c>
      <c r="C134" s="35">
        <f>IF(A134="",0,IF(G133&lt;=0,0,MIN('Mortgage Setup'!B21,G133*(1+'Mortgage Setup'!B9/12))))</f>
        <v>1816.07</v>
      </c>
      <c r="D134" s="35">
        <f>IF(A134="",0,IF(G133&lt;=0,0,MIN(C134-E134,G133)))</f>
        <v>603.23</v>
      </c>
      <c r="E134" s="35">
        <f>IF(A134="",0,IF(G133&lt;=0,0,ROUND(G133*('Mortgage Setup'!B9/12),2)))</f>
        <v>1212.84</v>
      </c>
      <c r="F134" s="35">
        <f>IF(A134="",0,IF(G133&lt;=0,0,MIN('Mortgage Setup'!B12,MAX(G133-D134,0))))</f>
        <v>100</v>
      </c>
      <c r="G134" s="35">
        <f>IF(A134="",0,MAX(G133-D134-F134,0))</f>
        <v>214913.33</v>
      </c>
      <c r="H134" s="35">
        <f>IF(A134="",0,H133+E134)</f>
        <v>184002.43000000002</v>
      </c>
    </row>
    <row r="135" ht="26" customHeight="1" spans="1:8" x14ac:dyDescent="0.25">
      <c r="A135" s="30">
        <f>IF(G134&gt;0,131,"")</f>
        <v>131</v>
      </c>
      <c r="B135" s="31">
        <f>IF(A135="","",DATE(YEAR('Mortgage Setup'!B11),MONTH('Mortgage Setup'!B11)+130,DAY('Mortgage Setup'!B11)))</f>
        <v>49980</v>
      </c>
      <c r="C135" s="32">
        <f>IF(A135="",0,IF(G134&lt;=0,0,MIN('Mortgage Setup'!B21,G134*(1+'Mortgage Setup'!B9/12))))</f>
        <v>1816.07</v>
      </c>
      <c r="D135" s="32">
        <f>IF(A135="",0,IF(G134&lt;=0,0,MIN(C135-E135,G134)))</f>
        <v>607.18</v>
      </c>
      <c r="E135" s="32">
        <f>IF(A135="",0,IF(G134&lt;=0,0,ROUND(G134*('Mortgage Setup'!B9/12),2)))</f>
        <v>1208.89</v>
      </c>
      <c r="F135" s="32">
        <f>IF(A135="",0,IF(G134&lt;=0,0,MIN('Mortgage Setup'!B12,MAX(G134-D135,0))))</f>
        <v>100</v>
      </c>
      <c r="G135" s="32">
        <f>IF(A135="",0,MAX(G134-D135-F135,0))</f>
        <v>214206.15</v>
      </c>
      <c r="H135" s="32">
        <f>IF(A135="",0,H134+E135)</f>
        <v>185211.32000000004</v>
      </c>
    </row>
    <row r="136" ht="26" customHeight="1" spans="1:8" x14ac:dyDescent="0.25">
      <c r="A136" s="33">
        <f>IF(G135&gt;0,132,"")</f>
        <v>132</v>
      </c>
      <c r="B136" s="34">
        <f>IF(A136="","",DATE(YEAR('Mortgage Setup'!B11),MONTH('Mortgage Setup'!B11)+131,DAY('Mortgage Setup'!B11)))</f>
        <v>50010</v>
      </c>
      <c r="C136" s="35">
        <f>IF(A136="",0,IF(G135&lt;=0,0,MIN('Mortgage Setup'!B21,G135*(1+'Mortgage Setup'!B9/12))))</f>
        <v>1816.07</v>
      </c>
      <c r="D136" s="35">
        <f>IF(A136="",0,IF(G135&lt;=0,0,MIN(C136-E136,G135)))</f>
        <v>611.16</v>
      </c>
      <c r="E136" s="35">
        <f>IF(A136="",0,IF(G135&lt;=0,0,ROUND(G135*('Mortgage Setup'!B9/12),2)))</f>
        <v>1204.91</v>
      </c>
      <c r="F136" s="35">
        <f>IF(A136="",0,IF(G135&lt;=0,0,MIN('Mortgage Setup'!B12,MAX(G135-D136,0))))</f>
        <v>100</v>
      </c>
      <c r="G136" s="35">
        <f>IF(A136="",0,MAX(G135-D136-F136,0))</f>
        <v>213494.99</v>
      </c>
      <c r="H136" s="35">
        <f>IF(A136="",0,H135+E136)</f>
        <v>186416.23000000004</v>
      </c>
    </row>
    <row r="137" ht="26" customHeight="1" spans="1:8" x14ac:dyDescent="0.25">
      <c r="A137" s="30">
        <f>IF(G136&gt;0,133,"")</f>
        <v>133</v>
      </c>
      <c r="B137" s="31">
        <f>IF(A137="","",DATE(YEAR('Mortgage Setup'!B11),MONTH('Mortgage Setup'!B11)+132,DAY('Mortgage Setup'!B11)))</f>
        <v>50041</v>
      </c>
      <c r="C137" s="32">
        <f>IF(A137="",0,IF(G136&lt;=0,0,MIN('Mortgage Setup'!B21,G136*(1+'Mortgage Setup'!B9/12))))</f>
        <v>1816.07</v>
      </c>
      <c r="D137" s="32">
        <f>IF(A137="",0,IF(G136&lt;=0,0,MIN(C137-E137,G136)))</f>
        <v>615.16</v>
      </c>
      <c r="E137" s="32">
        <f>IF(A137="",0,IF(G136&lt;=0,0,ROUND(G136*('Mortgage Setup'!B9/12),2)))</f>
        <v>1200.91</v>
      </c>
      <c r="F137" s="32">
        <f>IF(A137="",0,IF(G136&lt;=0,0,MIN('Mortgage Setup'!B12,MAX(G136-D137,0))))</f>
        <v>100</v>
      </c>
      <c r="G137" s="32">
        <f>IF(A137="",0,MAX(G136-D137-F137,0))</f>
        <v>212779.83</v>
      </c>
      <c r="H137" s="32">
        <f>IF(A137="",0,H136+E137)</f>
        <v>187617.14000000004</v>
      </c>
    </row>
    <row r="138" ht="26" customHeight="1" spans="1:8" x14ac:dyDescent="0.25">
      <c r="A138" s="33">
        <f>IF(G137&gt;0,134,"")</f>
        <v>134</v>
      </c>
      <c r="B138" s="34">
        <f>IF(A138="","",DATE(YEAR('Mortgage Setup'!B11),MONTH('Mortgage Setup'!B11)+133,DAY('Mortgage Setup'!B11)))</f>
        <v>50072</v>
      </c>
      <c r="C138" s="35">
        <f>IF(A138="",0,IF(G137&lt;=0,0,MIN('Mortgage Setup'!B21,G137*(1+'Mortgage Setup'!B9/12))))</f>
        <v>1816.07</v>
      </c>
      <c r="D138" s="35">
        <f>IF(A138="",0,IF(G137&lt;=0,0,MIN(C138-E138,G137)))</f>
        <v>619.18</v>
      </c>
      <c r="E138" s="35">
        <f>IF(A138="",0,IF(G137&lt;=0,0,ROUND(G137*('Mortgage Setup'!B9/12),2)))</f>
        <v>1196.89</v>
      </c>
      <c r="F138" s="35">
        <f>IF(A138="",0,IF(G137&lt;=0,0,MIN('Mortgage Setup'!B12,MAX(G137-D138,0))))</f>
        <v>100</v>
      </c>
      <c r="G138" s="35">
        <f>IF(A138="",0,MAX(G137-D138-F138,0))</f>
        <v>212060.65</v>
      </c>
      <c r="H138" s="35">
        <f>IF(A138="",0,H137+E138)</f>
        <v>188814.03000000006</v>
      </c>
    </row>
    <row r="139" ht="26" customHeight="1" spans="1:8" x14ac:dyDescent="0.25">
      <c r="A139" s="30">
        <f>IF(G138&gt;0,135,"")</f>
        <v>135</v>
      </c>
      <c r="B139" s="31">
        <f>IF(A139="","",DATE(YEAR('Mortgage Setup'!B11),MONTH('Mortgage Setup'!B11)+134,DAY('Mortgage Setup'!B11)))</f>
        <v>50100</v>
      </c>
      <c r="C139" s="32">
        <f>IF(A139="",0,IF(G138&lt;=0,0,MIN('Mortgage Setup'!B21,G138*(1+'Mortgage Setup'!B9/12))))</f>
        <v>1816.07</v>
      </c>
      <c r="D139" s="32">
        <f>IF(A139="",0,IF(G138&lt;=0,0,MIN(C139-E139,G138)))</f>
        <v>623.23</v>
      </c>
      <c r="E139" s="32">
        <f>IF(A139="",0,IF(G138&lt;=0,0,ROUND(G138*('Mortgage Setup'!B9/12),2)))</f>
        <v>1192.84</v>
      </c>
      <c r="F139" s="32">
        <f>IF(A139="",0,IF(G138&lt;=0,0,MIN('Mortgage Setup'!B12,MAX(G138-D139,0))))</f>
        <v>100</v>
      </c>
      <c r="G139" s="32">
        <f>IF(A139="",0,MAX(G138-D139-F139,0))</f>
        <v>211337.42</v>
      </c>
      <c r="H139" s="32">
        <f>IF(A139="",0,H138+E139)</f>
        <v>190006.87000000005</v>
      </c>
    </row>
    <row r="140" ht="26" customHeight="1" spans="1:8" x14ac:dyDescent="0.25">
      <c r="A140" s="33">
        <f>IF(G139&gt;0,136,"")</f>
        <v>136</v>
      </c>
      <c r="B140" s="34">
        <f>IF(A140="","",DATE(YEAR('Mortgage Setup'!B11),MONTH('Mortgage Setup'!B11)+135,DAY('Mortgage Setup'!B11)))</f>
        <v>50131</v>
      </c>
      <c r="C140" s="35">
        <f>IF(A140="",0,IF(G139&lt;=0,0,MIN('Mortgage Setup'!B21,G139*(1+'Mortgage Setup'!B9/12))))</f>
        <v>1816.07</v>
      </c>
      <c r="D140" s="35">
        <f>IF(A140="",0,IF(G139&lt;=0,0,MIN(C140-E140,G139)))</f>
        <v>627.3</v>
      </c>
      <c r="E140" s="35">
        <f>IF(A140="",0,IF(G139&lt;=0,0,ROUND(G139*('Mortgage Setup'!B9/12),2)))</f>
        <v>1188.77</v>
      </c>
      <c r="F140" s="35">
        <f>IF(A140="",0,IF(G139&lt;=0,0,MIN('Mortgage Setup'!B12,MAX(G139-D140,0))))</f>
        <v>100</v>
      </c>
      <c r="G140" s="35">
        <f>IF(A140="",0,MAX(G139-D140-F140,0))</f>
        <v>210610.12</v>
      </c>
      <c r="H140" s="35">
        <f>IF(A140="",0,H139+E140)</f>
        <v>191195.64000000004</v>
      </c>
    </row>
    <row r="141" ht="26" customHeight="1" spans="1:8" x14ac:dyDescent="0.25">
      <c r="A141" s="30">
        <f>IF(G140&gt;0,137,"")</f>
        <v>137</v>
      </c>
      <c r="B141" s="31">
        <f>IF(A141="","",DATE(YEAR('Mortgage Setup'!B11),MONTH('Mortgage Setup'!B11)+136,DAY('Mortgage Setup'!B11)))</f>
        <v>50161</v>
      </c>
      <c r="C141" s="32">
        <f>IF(A141="",0,IF(G140&lt;=0,0,MIN('Mortgage Setup'!B21,G140*(1+'Mortgage Setup'!B9/12))))</f>
        <v>1816.07</v>
      </c>
      <c r="D141" s="32">
        <f>IF(A141="",0,IF(G140&lt;=0,0,MIN(C141-E141,G140)))</f>
        <v>631.39</v>
      </c>
      <c r="E141" s="32">
        <f>IF(A141="",0,IF(G140&lt;=0,0,ROUND(G140*('Mortgage Setup'!B9/12),2)))</f>
        <v>1184.68</v>
      </c>
      <c r="F141" s="32">
        <f>IF(A141="",0,IF(G140&lt;=0,0,MIN('Mortgage Setup'!B12,MAX(G140-D141,0))))</f>
        <v>100</v>
      </c>
      <c r="G141" s="32">
        <f>IF(A141="",0,MAX(G140-D141-F141,0))</f>
        <v>209878.73</v>
      </c>
      <c r="H141" s="32">
        <f>IF(A141="",0,H140+E141)</f>
        <v>192380.32000000004</v>
      </c>
    </row>
    <row r="142" ht="26" customHeight="1" spans="1:8" x14ac:dyDescent="0.25">
      <c r="A142" s="33">
        <f>IF(G141&gt;0,138,"")</f>
        <v>138</v>
      </c>
      <c r="B142" s="34">
        <f>IF(A142="","",DATE(YEAR('Mortgage Setup'!B11),MONTH('Mortgage Setup'!B11)+137,DAY('Mortgage Setup'!B11)))</f>
        <v>50192</v>
      </c>
      <c r="C142" s="35">
        <f>IF(A142="",0,IF(G141&lt;=0,0,MIN('Mortgage Setup'!B21,G141*(1+'Mortgage Setup'!B9/12))))</f>
        <v>1816.07</v>
      </c>
      <c r="D142" s="35">
        <f>IF(A142="",0,IF(G141&lt;=0,0,MIN(C142-E142,G141)))</f>
        <v>635.5</v>
      </c>
      <c r="E142" s="35">
        <f>IF(A142="",0,IF(G141&lt;=0,0,ROUND(G141*('Mortgage Setup'!B9/12),2)))</f>
        <v>1180.57</v>
      </c>
      <c r="F142" s="35">
        <f>IF(A142="",0,IF(G141&lt;=0,0,MIN('Mortgage Setup'!B12,MAX(G141-D142,0))))</f>
        <v>100</v>
      </c>
      <c r="G142" s="35">
        <f>IF(A142="",0,MAX(G141-D142-F142,0))</f>
        <v>209143.23</v>
      </c>
      <c r="H142" s="35">
        <f>IF(A142="",0,H141+E142)</f>
        <v>193560.89000000004</v>
      </c>
    </row>
    <row r="143" ht="26" customHeight="1" spans="1:8" x14ac:dyDescent="0.25">
      <c r="A143" s="30">
        <f>IF(G142&gt;0,139,"")</f>
        <v>139</v>
      </c>
      <c r="B143" s="31">
        <f>IF(A143="","",DATE(YEAR('Mortgage Setup'!B11),MONTH('Mortgage Setup'!B11)+138,DAY('Mortgage Setup'!B11)))</f>
        <v>50222</v>
      </c>
      <c r="C143" s="32">
        <f>IF(A143="",0,IF(G142&lt;=0,0,MIN('Mortgage Setup'!B21,G142*(1+'Mortgage Setup'!B9/12))))</f>
        <v>1816.07</v>
      </c>
      <c r="D143" s="32">
        <f>IF(A143="",0,IF(G142&lt;=0,0,MIN(C143-E143,G142)))</f>
        <v>639.64</v>
      </c>
      <c r="E143" s="32">
        <f>IF(A143="",0,IF(G142&lt;=0,0,ROUND(G142*('Mortgage Setup'!B9/12),2)))</f>
        <v>1176.43</v>
      </c>
      <c r="F143" s="32">
        <f>IF(A143="",0,IF(G142&lt;=0,0,MIN('Mortgage Setup'!B12,MAX(G142-D143,0))))</f>
        <v>100</v>
      </c>
      <c r="G143" s="32">
        <f>IF(A143="",0,MAX(G142-D143-F143,0))</f>
        <v>208403.59</v>
      </c>
      <c r="H143" s="32">
        <f>IF(A143="",0,H142+E143)</f>
        <v>194737.32000000004</v>
      </c>
    </row>
    <row r="144" ht="26" customHeight="1" spans="1:8" x14ac:dyDescent="0.25">
      <c r="A144" s="33">
        <f>IF(G143&gt;0,140,"")</f>
        <v>140</v>
      </c>
      <c r="B144" s="34">
        <f>IF(A144="","",DATE(YEAR('Mortgage Setup'!B11),MONTH('Mortgage Setup'!B11)+139,DAY('Mortgage Setup'!B11)))</f>
        <v>50253</v>
      </c>
      <c r="C144" s="35">
        <f>IF(A144="",0,IF(G143&lt;=0,0,MIN('Mortgage Setup'!B21,G143*(1+'Mortgage Setup'!B9/12))))</f>
        <v>1816.07</v>
      </c>
      <c r="D144" s="35">
        <f>IF(A144="",0,IF(G143&lt;=0,0,MIN(C144-E144,G143)))</f>
        <v>643.8</v>
      </c>
      <c r="E144" s="35">
        <f>IF(A144="",0,IF(G143&lt;=0,0,ROUND(G143*('Mortgage Setup'!B9/12),2)))</f>
        <v>1172.27</v>
      </c>
      <c r="F144" s="35">
        <f>IF(A144="",0,IF(G143&lt;=0,0,MIN('Mortgage Setup'!B12,MAX(G143-D144,0))))</f>
        <v>100</v>
      </c>
      <c r="G144" s="35">
        <f>IF(A144="",0,MAX(G143-D144-F144,0))</f>
        <v>207659.79</v>
      </c>
      <c r="H144" s="35">
        <f>IF(A144="",0,H143+E144)</f>
        <v>195909.59000000003</v>
      </c>
    </row>
    <row r="145" ht="26" customHeight="1" spans="1:8" x14ac:dyDescent="0.25">
      <c r="A145" s="30">
        <f>IF(G144&gt;0,141,"")</f>
        <v>141</v>
      </c>
      <c r="B145" s="31">
        <f>IF(A145="","",DATE(YEAR('Mortgage Setup'!B11),MONTH('Mortgage Setup'!B11)+140,DAY('Mortgage Setup'!B11)))</f>
        <v>50284</v>
      </c>
      <c r="C145" s="32">
        <f>IF(A145="",0,IF(G144&lt;=0,0,MIN('Mortgage Setup'!B21,G144*(1+'Mortgage Setup'!B9/12))))</f>
        <v>1816.07</v>
      </c>
      <c r="D145" s="32">
        <f>IF(A145="",0,IF(G144&lt;=0,0,MIN(C145-E145,G144)))</f>
        <v>647.98</v>
      </c>
      <c r="E145" s="32">
        <f>IF(A145="",0,IF(G144&lt;=0,0,ROUND(G144*('Mortgage Setup'!B9/12),2)))</f>
        <v>1168.09</v>
      </c>
      <c r="F145" s="32">
        <f>IF(A145="",0,IF(G144&lt;=0,0,MIN('Mortgage Setup'!B12,MAX(G144-D145,0))))</f>
        <v>100</v>
      </c>
      <c r="G145" s="32">
        <f>IF(A145="",0,MAX(G144-D145-F145,0))</f>
        <v>206911.81</v>
      </c>
      <c r="H145" s="32">
        <f>IF(A145="",0,H144+E145)</f>
        <v>197077.68000000002</v>
      </c>
    </row>
    <row r="146" ht="26" customHeight="1" spans="1:8" x14ac:dyDescent="0.25">
      <c r="A146" s="33">
        <f>IF(G145&gt;0,142,"")</f>
        <v>142</v>
      </c>
      <c r="B146" s="34">
        <f>IF(A146="","",DATE(YEAR('Mortgage Setup'!B11),MONTH('Mortgage Setup'!B11)+141,DAY('Mortgage Setup'!B11)))</f>
        <v>50314</v>
      </c>
      <c r="C146" s="35">
        <f>IF(A146="",0,IF(G145&lt;=0,0,MIN('Mortgage Setup'!B21,G145*(1+'Mortgage Setup'!B9/12))))</f>
        <v>1816.07</v>
      </c>
      <c r="D146" s="35">
        <f>IF(A146="",0,IF(G145&lt;=0,0,MIN(C146-E146,G145)))</f>
        <v>652.19</v>
      </c>
      <c r="E146" s="35">
        <f>IF(A146="",0,IF(G145&lt;=0,0,ROUND(G145*('Mortgage Setup'!B9/12),2)))</f>
        <v>1163.88</v>
      </c>
      <c r="F146" s="35">
        <f>IF(A146="",0,IF(G145&lt;=0,0,MIN('Mortgage Setup'!B12,MAX(G145-D146,0))))</f>
        <v>100</v>
      </c>
      <c r="G146" s="35">
        <f>IF(A146="",0,MAX(G145-D146-F146,0))</f>
        <v>206159.62</v>
      </c>
      <c r="H146" s="35">
        <f>IF(A146="",0,H145+E146)</f>
        <v>198241.56000000003</v>
      </c>
    </row>
    <row r="147" ht="26" customHeight="1" spans="1:8" x14ac:dyDescent="0.25">
      <c r="A147" s="30">
        <f>IF(G146&gt;0,143,"")</f>
        <v>143</v>
      </c>
      <c r="B147" s="31">
        <f>IF(A147="","",DATE(YEAR('Mortgage Setup'!B11),MONTH('Mortgage Setup'!B11)+142,DAY('Mortgage Setup'!B11)))</f>
        <v>50345</v>
      </c>
      <c r="C147" s="32">
        <f>IF(A147="",0,IF(G146&lt;=0,0,MIN('Mortgage Setup'!B21,G146*(1+'Mortgage Setup'!B9/12))))</f>
        <v>1816.07</v>
      </c>
      <c r="D147" s="32">
        <f>IF(A147="",0,IF(G146&lt;=0,0,MIN(C147-E147,G146)))</f>
        <v>656.42</v>
      </c>
      <c r="E147" s="32">
        <f>IF(A147="",0,IF(G146&lt;=0,0,ROUND(G146*('Mortgage Setup'!B9/12),2)))</f>
        <v>1159.65</v>
      </c>
      <c r="F147" s="32">
        <f>IF(A147="",0,IF(G146&lt;=0,0,MIN('Mortgage Setup'!B12,MAX(G146-D147,0))))</f>
        <v>100</v>
      </c>
      <c r="G147" s="32">
        <f>IF(A147="",0,MAX(G146-D147-F147,0))</f>
        <v>205403.2</v>
      </c>
      <c r="H147" s="32">
        <f>IF(A147="",0,H146+E147)</f>
        <v>199401.21000000002</v>
      </c>
    </row>
    <row r="148" ht="26" customHeight="1" spans="1:8" x14ac:dyDescent="0.25">
      <c r="A148" s="33">
        <f>IF(G147&gt;0,144,"")</f>
        <v>144</v>
      </c>
      <c r="B148" s="34">
        <f>IF(A148="","",DATE(YEAR('Mortgage Setup'!B11),MONTH('Mortgage Setup'!B11)+143,DAY('Mortgage Setup'!B11)))</f>
        <v>50375</v>
      </c>
      <c r="C148" s="35">
        <f>IF(A148="",0,IF(G147&lt;=0,0,MIN('Mortgage Setup'!B21,G147*(1+'Mortgage Setup'!B9/12))))</f>
        <v>1816.07</v>
      </c>
      <c r="D148" s="35">
        <f>IF(A148="",0,IF(G147&lt;=0,0,MIN(C148-E148,G147)))</f>
        <v>660.68</v>
      </c>
      <c r="E148" s="35">
        <f>IF(A148="",0,IF(G147&lt;=0,0,ROUND(G147*('Mortgage Setup'!B9/12),2)))</f>
        <v>1155.39</v>
      </c>
      <c r="F148" s="35">
        <f>IF(A148="",0,IF(G147&lt;=0,0,MIN('Mortgage Setup'!B12,MAX(G147-D148,0))))</f>
        <v>100</v>
      </c>
      <c r="G148" s="35">
        <f>IF(A148="",0,MAX(G147-D148-F148,0))</f>
        <v>204642.52</v>
      </c>
      <c r="H148" s="35">
        <f>IF(A148="",0,H147+E148)</f>
        <v>200556.60000000003</v>
      </c>
    </row>
    <row r="149" ht="26" customHeight="1" spans="1:8" x14ac:dyDescent="0.25">
      <c r="A149" s="30">
        <f>IF(G148&gt;0,145,"")</f>
        <v>145</v>
      </c>
      <c r="B149" s="31">
        <f>IF(A149="","",DATE(YEAR('Mortgage Setup'!B11),MONTH('Mortgage Setup'!B11)+144,DAY('Mortgage Setup'!B11)))</f>
        <v>50406</v>
      </c>
      <c r="C149" s="32">
        <f>IF(A149="",0,IF(G148&lt;=0,0,MIN('Mortgage Setup'!B21,G148*(1+'Mortgage Setup'!B9/12))))</f>
        <v>1816.07</v>
      </c>
      <c r="D149" s="32">
        <f>IF(A149="",0,IF(G148&lt;=0,0,MIN(C149-E149,G148)))</f>
        <v>664.96</v>
      </c>
      <c r="E149" s="32">
        <f>IF(A149="",0,IF(G148&lt;=0,0,ROUND(G148*('Mortgage Setup'!B9/12),2)))</f>
        <v>1151.11</v>
      </c>
      <c r="F149" s="32">
        <f>IF(A149="",0,IF(G148&lt;=0,0,MIN('Mortgage Setup'!B12,MAX(G148-D149,0))))</f>
        <v>100</v>
      </c>
      <c r="G149" s="32">
        <f>IF(A149="",0,MAX(G148-D149-F149,0))</f>
        <v>203877.56</v>
      </c>
      <c r="H149" s="32">
        <f>IF(A149="",0,H148+E149)</f>
        <v>201707.71000000002</v>
      </c>
    </row>
    <row r="150" ht="26" customHeight="1" spans="1:8" x14ac:dyDescent="0.25">
      <c r="A150" s="33">
        <f>IF(G149&gt;0,146,"")</f>
        <v>146</v>
      </c>
      <c r="B150" s="34">
        <f>IF(A150="","",DATE(YEAR('Mortgage Setup'!B11),MONTH('Mortgage Setup'!B11)+145,DAY('Mortgage Setup'!B11)))</f>
        <v>50437</v>
      </c>
      <c r="C150" s="35">
        <f>IF(A150="",0,IF(G149&lt;=0,0,MIN('Mortgage Setup'!B21,G149*(1+'Mortgage Setup'!B9/12))))</f>
        <v>1816.07</v>
      </c>
      <c r="D150" s="35">
        <f>IF(A150="",0,IF(G149&lt;=0,0,MIN(C150-E150,G149)))</f>
        <v>669.26</v>
      </c>
      <c r="E150" s="35">
        <f>IF(A150="",0,IF(G149&lt;=0,0,ROUND(G149*('Mortgage Setup'!B9/12),2)))</f>
        <v>1146.81</v>
      </c>
      <c r="F150" s="35">
        <f>IF(A150="",0,IF(G149&lt;=0,0,MIN('Mortgage Setup'!B12,MAX(G149-D150,0))))</f>
        <v>100</v>
      </c>
      <c r="G150" s="35">
        <f>IF(A150="",0,MAX(G149-D150-F150,0))</f>
        <v>203108.3</v>
      </c>
      <c r="H150" s="35">
        <f>IF(A150="",0,H149+E150)</f>
        <v>202854.52000000002</v>
      </c>
    </row>
    <row r="151" ht="26" customHeight="1" spans="1:8" x14ac:dyDescent="0.25">
      <c r="A151" s="30">
        <f>IF(G150&gt;0,147,"")</f>
        <v>147</v>
      </c>
      <c r="B151" s="31">
        <f>IF(A151="","",DATE(YEAR('Mortgage Setup'!B11),MONTH('Mortgage Setup'!B11)+146,DAY('Mortgage Setup'!B11)))</f>
        <v>50465</v>
      </c>
      <c r="C151" s="32">
        <f>IF(A151="",0,IF(G150&lt;=0,0,MIN('Mortgage Setup'!B21,G150*(1+'Mortgage Setup'!B9/12))))</f>
        <v>1816.07</v>
      </c>
      <c r="D151" s="32">
        <f>IF(A151="",0,IF(G150&lt;=0,0,MIN(C151-E151,G150)))</f>
        <v>673.59</v>
      </c>
      <c r="E151" s="32">
        <f>IF(A151="",0,IF(G150&lt;=0,0,ROUND(G150*('Mortgage Setup'!B9/12),2)))</f>
        <v>1142.48</v>
      </c>
      <c r="F151" s="32">
        <f>IF(A151="",0,IF(G150&lt;=0,0,MIN('Mortgage Setup'!B12,MAX(G150-D151,0))))</f>
        <v>100</v>
      </c>
      <c r="G151" s="32">
        <f>IF(A151="",0,MAX(G150-D151-F151,0))</f>
        <v>202334.71</v>
      </c>
      <c r="H151" s="32">
        <f>IF(A151="",0,H150+E151)</f>
        <v>203997.00000000003</v>
      </c>
    </row>
    <row r="152" ht="26" customHeight="1" spans="1:8" x14ac:dyDescent="0.25">
      <c r="A152" s="33">
        <f>IF(G151&gt;0,148,"")</f>
        <v>148</v>
      </c>
      <c r="B152" s="34">
        <f>IF(A152="","",DATE(YEAR('Mortgage Setup'!B11),MONTH('Mortgage Setup'!B11)+147,DAY('Mortgage Setup'!B11)))</f>
        <v>50496</v>
      </c>
      <c r="C152" s="35">
        <f>IF(A152="",0,IF(G151&lt;=0,0,MIN('Mortgage Setup'!B21,G151*(1+'Mortgage Setup'!B9/12))))</f>
        <v>1816.07</v>
      </c>
      <c r="D152" s="35">
        <f>IF(A152="",0,IF(G151&lt;=0,0,MIN(C152-E152,G151)))</f>
        <v>677.94</v>
      </c>
      <c r="E152" s="35">
        <f>IF(A152="",0,IF(G151&lt;=0,0,ROUND(G151*('Mortgage Setup'!B9/12),2)))</f>
        <v>1138.13</v>
      </c>
      <c r="F152" s="35">
        <f>IF(A152="",0,IF(G151&lt;=0,0,MIN('Mortgage Setup'!B12,MAX(G151-D152,0))))</f>
        <v>100</v>
      </c>
      <c r="G152" s="35">
        <f>IF(A152="",0,MAX(G151-D152-F152,0))</f>
        <v>201556.77</v>
      </c>
      <c r="H152" s="35">
        <f>IF(A152="",0,H151+E152)</f>
        <v>205135.13000000003</v>
      </c>
    </row>
    <row r="153" ht="26" customHeight="1" spans="1:8" x14ac:dyDescent="0.25">
      <c r="A153" s="30">
        <f>IF(G152&gt;0,149,"")</f>
        <v>149</v>
      </c>
      <c r="B153" s="31">
        <f>IF(A153="","",DATE(YEAR('Mortgage Setup'!B11),MONTH('Mortgage Setup'!B11)+148,DAY('Mortgage Setup'!B11)))</f>
        <v>50526</v>
      </c>
      <c r="C153" s="32">
        <f>IF(A153="",0,IF(G152&lt;=0,0,MIN('Mortgage Setup'!B21,G152*(1+'Mortgage Setup'!B9/12))))</f>
        <v>1816.07</v>
      </c>
      <c r="D153" s="32">
        <f>IF(A153="",0,IF(G152&lt;=0,0,MIN(C153-E153,G152)))</f>
        <v>682.31</v>
      </c>
      <c r="E153" s="32">
        <f>IF(A153="",0,IF(G152&lt;=0,0,ROUND(G152*('Mortgage Setup'!B9/12),2)))</f>
        <v>1133.76</v>
      </c>
      <c r="F153" s="32">
        <f>IF(A153="",0,IF(G152&lt;=0,0,MIN('Mortgage Setup'!B12,MAX(G152-D153,0))))</f>
        <v>100</v>
      </c>
      <c r="G153" s="32">
        <f>IF(A153="",0,MAX(G152-D153-F153,0))</f>
        <v>200774.46</v>
      </c>
      <c r="H153" s="32">
        <f>IF(A153="",0,H152+E153)</f>
        <v>206268.89000000004</v>
      </c>
    </row>
    <row r="154" ht="26" customHeight="1" spans="1:8" x14ac:dyDescent="0.25">
      <c r="A154" s="33">
        <f>IF(G153&gt;0,150,"")</f>
        <v>150</v>
      </c>
      <c r="B154" s="34">
        <f>IF(A154="","",DATE(YEAR('Mortgage Setup'!B11),MONTH('Mortgage Setup'!B11)+149,DAY('Mortgage Setup'!B11)))</f>
        <v>50557</v>
      </c>
      <c r="C154" s="35">
        <f>IF(A154="",0,IF(G153&lt;=0,0,MIN('Mortgage Setup'!B21,G153*(1+'Mortgage Setup'!B9/12))))</f>
        <v>1816.07</v>
      </c>
      <c r="D154" s="35">
        <f>IF(A154="",0,IF(G153&lt;=0,0,MIN(C154-E154,G153)))</f>
        <v>686.71</v>
      </c>
      <c r="E154" s="35">
        <f>IF(A154="",0,IF(G153&lt;=0,0,ROUND(G153*('Mortgage Setup'!B9/12),2)))</f>
        <v>1129.36</v>
      </c>
      <c r="F154" s="35">
        <f>IF(A154="",0,IF(G153&lt;=0,0,MIN('Mortgage Setup'!B12,MAX(G153-D154,0))))</f>
        <v>100</v>
      </c>
      <c r="G154" s="35">
        <f>IF(A154="",0,MAX(G153-D154-F154,0))</f>
        <v>199987.75</v>
      </c>
      <c r="H154" s="35">
        <f>IF(A154="",0,H153+E154)</f>
        <v>207398.25000000003</v>
      </c>
    </row>
    <row r="155" ht="26" customHeight="1" spans="1:8" x14ac:dyDescent="0.25">
      <c r="A155" s="30">
        <f>IF(G154&gt;0,151,"")</f>
        <v>151</v>
      </c>
      <c r="B155" s="31">
        <f>IF(A155="","",DATE(YEAR('Mortgage Setup'!B11),MONTH('Mortgage Setup'!B11)+150,DAY('Mortgage Setup'!B11)))</f>
        <v>50587</v>
      </c>
      <c r="C155" s="32">
        <f>IF(A155="",0,IF(G154&lt;=0,0,MIN('Mortgage Setup'!B21,G154*(1+'Mortgage Setup'!B9/12))))</f>
        <v>1816.07</v>
      </c>
      <c r="D155" s="32">
        <f>IF(A155="",0,IF(G154&lt;=0,0,MIN(C155-E155,G154)))</f>
        <v>691.14</v>
      </c>
      <c r="E155" s="32">
        <f>IF(A155="",0,IF(G154&lt;=0,0,ROUND(G154*('Mortgage Setup'!B9/12),2)))</f>
        <v>1124.93</v>
      </c>
      <c r="F155" s="32">
        <f>IF(A155="",0,IF(G154&lt;=0,0,MIN('Mortgage Setup'!B12,MAX(G154-D155,0))))</f>
        <v>100</v>
      </c>
      <c r="G155" s="32">
        <f>IF(A155="",0,MAX(G154-D155-F155,0))</f>
        <v>199196.61</v>
      </c>
      <c r="H155" s="32">
        <f>IF(A155="",0,H154+E155)</f>
        <v>208523.18000000002</v>
      </c>
    </row>
    <row r="156" ht="26" customHeight="1" spans="1:8" x14ac:dyDescent="0.25">
      <c r="A156" s="33">
        <f>IF(G155&gt;0,152,"")</f>
        <v>152</v>
      </c>
      <c r="B156" s="34">
        <f>IF(A156="","",DATE(YEAR('Mortgage Setup'!B11),MONTH('Mortgage Setup'!B11)+151,DAY('Mortgage Setup'!B11)))</f>
        <v>50618</v>
      </c>
      <c r="C156" s="35">
        <f>IF(A156="",0,IF(G155&lt;=0,0,MIN('Mortgage Setup'!B21,G155*(1+'Mortgage Setup'!B9/12))))</f>
        <v>1816.07</v>
      </c>
      <c r="D156" s="35">
        <f>IF(A156="",0,IF(G155&lt;=0,0,MIN(C156-E156,G155)))</f>
        <v>695.59</v>
      </c>
      <c r="E156" s="35">
        <f>IF(A156="",0,IF(G155&lt;=0,0,ROUND(G155*('Mortgage Setup'!B9/12),2)))</f>
        <v>1120.48</v>
      </c>
      <c r="F156" s="35">
        <f>IF(A156="",0,IF(G155&lt;=0,0,MIN('Mortgage Setup'!B12,MAX(G155-D156,0))))</f>
        <v>100</v>
      </c>
      <c r="G156" s="35">
        <f>IF(A156="",0,MAX(G155-D156-F156,0))</f>
        <v>198401.02</v>
      </c>
      <c r="H156" s="35">
        <f>IF(A156="",0,H155+E156)</f>
        <v>209643.66000000003</v>
      </c>
    </row>
    <row r="157" ht="26" customHeight="1" spans="1:8" x14ac:dyDescent="0.25">
      <c r="A157" s="30">
        <f>IF(G156&gt;0,153,"")</f>
        <v>153</v>
      </c>
      <c r="B157" s="31">
        <f>IF(A157="","",DATE(YEAR('Mortgage Setup'!B11),MONTH('Mortgage Setup'!B11)+152,DAY('Mortgage Setup'!B11)))</f>
        <v>50649</v>
      </c>
      <c r="C157" s="32">
        <f>IF(A157="",0,IF(G156&lt;=0,0,MIN('Mortgage Setup'!B21,G156*(1+'Mortgage Setup'!B9/12))))</f>
        <v>1816.07</v>
      </c>
      <c r="D157" s="32">
        <f>IF(A157="",0,IF(G156&lt;=0,0,MIN(C157-E157,G156)))</f>
        <v>700.06</v>
      </c>
      <c r="E157" s="32">
        <f>IF(A157="",0,IF(G156&lt;=0,0,ROUND(G156*('Mortgage Setup'!B9/12),2)))</f>
        <v>1116.01</v>
      </c>
      <c r="F157" s="32">
        <f>IF(A157="",0,IF(G156&lt;=0,0,MIN('Mortgage Setup'!B12,MAX(G156-D157,0))))</f>
        <v>100</v>
      </c>
      <c r="G157" s="32">
        <f>IF(A157="",0,MAX(G156-D157-F157,0))</f>
        <v>197600.96</v>
      </c>
      <c r="H157" s="32">
        <f>IF(A157="",0,H156+E157)</f>
        <v>210759.67000000004</v>
      </c>
    </row>
    <row r="158" ht="26" customHeight="1" spans="1:8" x14ac:dyDescent="0.25">
      <c r="A158" s="33">
        <f>IF(G157&gt;0,154,"")</f>
        <v>154</v>
      </c>
      <c r="B158" s="34">
        <f>IF(A158="","",DATE(YEAR('Mortgage Setup'!B11),MONTH('Mortgage Setup'!B11)+153,DAY('Mortgage Setup'!B11)))</f>
        <v>50679</v>
      </c>
      <c r="C158" s="35">
        <f>IF(A158="",0,IF(G157&lt;=0,0,MIN('Mortgage Setup'!B21,G157*(1+'Mortgage Setup'!B9/12))))</f>
        <v>1816.07</v>
      </c>
      <c r="D158" s="35">
        <f>IF(A158="",0,IF(G157&lt;=0,0,MIN(C158-E158,G157)))</f>
        <v>704.56</v>
      </c>
      <c r="E158" s="35">
        <f>IF(A158="",0,IF(G157&lt;=0,0,ROUND(G157*('Mortgage Setup'!B9/12),2)))</f>
        <v>1111.51</v>
      </c>
      <c r="F158" s="35">
        <f>IF(A158="",0,IF(G157&lt;=0,0,MIN('Mortgage Setup'!B12,MAX(G157-D158,0))))</f>
        <v>100</v>
      </c>
      <c r="G158" s="35">
        <f>IF(A158="",0,MAX(G157-D158-F158,0))</f>
        <v>196796.4</v>
      </c>
      <c r="H158" s="35">
        <f>IF(A158="",0,H157+E158)</f>
        <v>211871.18000000005</v>
      </c>
    </row>
    <row r="159" ht="26" customHeight="1" spans="1:8" x14ac:dyDescent="0.25">
      <c r="A159" s="30">
        <f>IF(G158&gt;0,155,"")</f>
        <v>155</v>
      </c>
      <c r="B159" s="31">
        <f>IF(A159="","",DATE(YEAR('Mortgage Setup'!B11),MONTH('Mortgage Setup'!B11)+154,DAY('Mortgage Setup'!B11)))</f>
        <v>50710</v>
      </c>
      <c r="C159" s="32">
        <f>IF(A159="",0,IF(G158&lt;=0,0,MIN('Mortgage Setup'!B21,G158*(1+'Mortgage Setup'!B9/12))))</f>
        <v>1816.07</v>
      </c>
      <c r="D159" s="32">
        <f>IF(A159="",0,IF(G158&lt;=0,0,MIN(C159-E159,G158)))</f>
        <v>709.09</v>
      </c>
      <c r="E159" s="32">
        <f>IF(A159="",0,IF(G158&lt;=0,0,ROUND(G158*('Mortgage Setup'!B9/12),2)))</f>
        <v>1106.98</v>
      </c>
      <c r="F159" s="32">
        <f>IF(A159="",0,IF(G158&lt;=0,0,MIN('Mortgage Setup'!B12,MAX(G158-D159,0))))</f>
        <v>100</v>
      </c>
      <c r="G159" s="32">
        <f>IF(A159="",0,MAX(G158-D159-F159,0))</f>
        <v>195987.31</v>
      </c>
      <c r="H159" s="32">
        <f>IF(A159="",0,H158+E159)</f>
        <v>212978.16000000006</v>
      </c>
    </row>
    <row r="160" ht="26" customHeight="1" spans="1:8" x14ac:dyDescent="0.25">
      <c r="A160" s="33">
        <f>IF(G159&gt;0,156,"")</f>
        <v>156</v>
      </c>
      <c r="B160" s="34">
        <f>IF(A160="","",DATE(YEAR('Mortgage Setup'!B11),MONTH('Mortgage Setup'!B11)+155,DAY('Mortgage Setup'!B11)))</f>
        <v>50740</v>
      </c>
      <c r="C160" s="35">
        <f>IF(A160="",0,IF(G159&lt;=0,0,MIN('Mortgage Setup'!B21,G159*(1+'Mortgage Setup'!B9/12))))</f>
        <v>1816.07</v>
      </c>
      <c r="D160" s="35">
        <f>IF(A160="",0,IF(G159&lt;=0,0,MIN(C160-E160,G159)))</f>
        <v>713.64</v>
      </c>
      <c r="E160" s="35">
        <f>IF(A160="",0,IF(G159&lt;=0,0,ROUND(G159*('Mortgage Setup'!B9/12),2)))</f>
        <v>1102.43</v>
      </c>
      <c r="F160" s="35">
        <f>IF(A160="",0,IF(G159&lt;=0,0,MIN('Mortgage Setup'!B12,MAX(G159-D160,0))))</f>
        <v>100</v>
      </c>
      <c r="G160" s="35">
        <f>IF(A160="",0,MAX(G159-D160-F160,0))</f>
        <v>195173.67</v>
      </c>
      <c r="H160" s="35">
        <f>IF(A160="",0,H159+E160)</f>
        <v>214080.59000000005</v>
      </c>
    </row>
    <row r="161" ht="26" customHeight="1" spans="1:8" x14ac:dyDescent="0.25">
      <c r="A161" s="30">
        <f>IF(G160&gt;0,157,"")</f>
        <v>157</v>
      </c>
      <c r="B161" s="31">
        <f>IF(A161="","",DATE(YEAR('Mortgage Setup'!B11),MONTH('Mortgage Setup'!B11)+156,DAY('Mortgage Setup'!B11)))</f>
        <v>50771</v>
      </c>
      <c r="C161" s="32">
        <f>IF(A161="",0,IF(G160&lt;=0,0,MIN('Mortgage Setup'!B21,G160*(1+'Mortgage Setup'!B9/12))))</f>
        <v>1816.07</v>
      </c>
      <c r="D161" s="32">
        <f>IF(A161="",0,IF(G160&lt;=0,0,MIN(C161-E161,G160)))</f>
        <v>718.22</v>
      </c>
      <c r="E161" s="32">
        <f>IF(A161="",0,IF(G160&lt;=0,0,ROUND(G160*('Mortgage Setup'!B9/12),2)))</f>
        <v>1097.85</v>
      </c>
      <c r="F161" s="32">
        <f>IF(A161="",0,IF(G160&lt;=0,0,MIN('Mortgage Setup'!B12,MAX(G160-D161,0))))</f>
        <v>100</v>
      </c>
      <c r="G161" s="32">
        <f>IF(A161="",0,MAX(G160-D161-F161,0))</f>
        <v>194355.45</v>
      </c>
      <c r="H161" s="32">
        <f>IF(A161="",0,H160+E161)</f>
        <v>215178.44000000006</v>
      </c>
    </row>
    <row r="162" ht="26" customHeight="1" spans="1:8" x14ac:dyDescent="0.25">
      <c r="A162" s="33">
        <f>IF(G161&gt;0,158,"")</f>
        <v>158</v>
      </c>
      <c r="B162" s="34">
        <f>IF(A162="","",DATE(YEAR('Mortgage Setup'!B11),MONTH('Mortgage Setup'!B11)+157,DAY('Mortgage Setup'!B11)))</f>
        <v>50802</v>
      </c>
      <c r="C162" s="35">
        <f>IF(A162="",0,IF(G161&lt;=0,0,MIN('Mortgage Setup'!B21,G161*(1+'Mortgage Setup'!B9/12))))</f>
        <v>1816.07</v>
      </c>
      <c r="D162" s="35">
        <f>IF(A162="",0,IF(G161&lt;=0,0,MIN(C162-E162,G161)))</f>
        <v>722.82</v>
      </c>
      <c r="E162" s="35">
        <f>IF(A162="",0,IF(G161&lt;=0,0,ROUND(G161*('Mortgage Setup'!B9/12),2)))</f>
        <v>1093.25</v>
      </c>
      <c r="F162" s="35">
        <f>IF(A162="",0,IF(G161&lt;=0,0,MIN('Mortgage Setup'!B12,MAX(G161-D162,0))))</f>
        <v>100</v>
      </c>
      <c r="G162" s="35">
        <f>IF(A162="",0,MAX(G161-D162-F162,0))</f>
        <v>193532.63</v>
      </c>
      <c r="H162" s="35">
        <f>IF(A162="",0,H161+E162)</f>
        <v>216271.69000000006</v>
      </c>
    </row>
    <row r="163" ht="26" customHeight="1" spans="1:8" x14ac:dyDescent="0.25">
      <c r="A163" s="30">
        <f>IF(G162&gt;0,159,"")</f>
        <v>159</v>
      </c>
      <c r="B163" s="31">
        <f>IF(A163="","",DATE(YEAR('Mortgage Setup'!B11),MONTH('Mortgage Setup'!B11)+158,DAY('Mortgage Setup'!B11)))</f>
        <v>50830</v>
      </c>
      <c r="C163" s="32">
        <f>IF(A163="",0,IF(G162&lt;=0,0,MIN('Mortgage Setup'!B21,G162*(1+'Mortgage Setup'!B9/12))))</f>
        <v>1816.07</v>
      </c>
      <c r="D163" s="32">
        <f>IF(A163="",0,IF(G162&lt;=0,0,MIN(C163-E163,G162)))</f>
        <v>727.45</v>
      </c>
      <c r="E163" s="32">
        <f>IF(A163="",0,IF(G162&lt;=0,0,ROUND(G162*('Mortgage Setup'!B9/12),2)))</f>
        <v>1088.62</v>
      </c>
      <c r="F163" s="32">
        <f>IF(A163="",0,IF(G162&lt;=0,0,MIN('Mortgage Setup'!B12,MAX(G162-D163,0))))</f>
        <v>100</v>
      </c>
      <c r="G163" s="32">
        <f>IF(A163="",0,MAX(G162-D163-F163,0))</f>
        <v>192705.18</v>
      </c>
      <c r="H163" s="32">
        <f>IF(A163="",0,H162+E163)</f>
        <v>217360.31000000006</v>
      </c>
    </row>
    <row r="164" ht="26" customHeight="1" spans="1:8" x14ac:dyDescent="0.25">
      <c r="A164" s="33">
        <f>IF(G163&gt;0,160,"")</f>
        <v>160</v>
      </c>
      <c r="B164" s="34">
        <f>IF(A164="","",DATE(YEAR('Mortgage Setup'!B11),MONTH('Mortgage Setup'!B11)+159,DAY('Mortgage Setup'!B11)))</f>
        <v>50861</v>
      </c>
      <c r="C164" s="35">
        <f>IF(A164="",0,IF(G163&lt;=0,0,MIN('Mortgage Setup'!B21,G163*(1+'Mortgage Setup'!B9/12))))</f>
        <v>1816.07</v>
      </c>
      <c r="D164" s="35">
        <f>IF(A164="",0,IF(G163&lt;=0,0,MIN(C164-E164,G163)))</f>
        <v>732.1</v>
      </c>
      <c r="E164" s="35">
        <f>IF(A164="",0,IF(G163&lt;=0,0,ROUND(G163*('Mortgage Setup'!B9/12),2)))</f>
        <v>1083.97</v>
      </c>
      <c r="F164" s="35">
        <f>IF(A164="",0,IF(G163&lt;=0,0,MIN('Mortgage Setup'!B12,MAX(G163-D164,0))))</f>
        <v>100</v>
      </c>
      <c r="G164" s="35">
        <f>IF(A164="",0,MAX(G163-D164-F164,0))</f>
        <v>191873.08</v>
      </c>
      <c r="H164" s="35">
        <f>IF(A164="",0,H163+E164)</f>
        <v>218444.28000000006</v>
      </c>
    </row>
    <row r="165" ht="26" customHeight="1" spans="1:8" x14ac:dyDescent="0.25">
      <c r="A165" s="30">
        <f>IF(G164&gt;0,161,"")</f>
        <v>161</v>
      </c>
      <c r="B165" s="31">
        <f>IF(A165="","",DATE(YEAR('Mortgage Setup'!B11),MONTH('Mortgage Setup'!B11)+160,DAY('Mortgage Setup'!B11)))</f>
        <v>50891</v>
      </c>
      <c r="C165" s="32">
        <f>IF(A165="",0,IF(G164&lt;=0,0,MIN('Mortgage Setup'!B21,G164*(1+'Mortgage Setup'!B9/12))))</f>
        <v>1816.07</v>
      </c>
      <c r="D165" s="32">
        <f>IF(A165="",0,IF(G164&lt;=0,0,MIN(C165-E165,G164)))</f>
        <v>736.78</v>
      </c>
      <c r="E165" s="32">
        <f>IF(A165="",0,IF(G164&lt;=0,0,ROUND(G164*('Mortgage Setup'!B9/12),2)))</f>
        <v>1079.29</v>
      </c>
      <c r="F165" s="32">
        <f>IF(A165="",0,IF(G164&lt;=0,0,MIN('Mortgage Setup'!B12,MAX(G164-D165,0))))</f>
        <v>100</v>
      </c>
      <c r="G165" s="32">
        <f>IF(A165="",0,MAX(G164-D165-F165,0))</f>
        <v>191036.3</v>
      </c>
      <c r="H165" s="32">
        <f>IF(A165="",0,H164+E165)</f>
        <v>219523.57000000007</v>
      </c>
    </row>
    <row r="166" ht="26" customHeight="1" spans="1:8" x14ac:dyDescent="0.25">
      <c r="A166" s="33">
        <f>IF(G165&gt;0,162,"")</f>
        <v>162</v>
      </c>
      <c r="B166" s="34">
        <f>IF(A166="","",DATE(YEAR('Mortgage Setup'!B11),MONTH('Mortgage Setup'!B11)+161,DAY('Mortgage Setup'!B11)))</f>
        <v>50922</v>
      </c>
      <c r="C166" s="35">
        <f>IF(A166="",0,IF(G165&lt;=0,0,MIN('Mortgage Setup'!B21,G165*(1+'Mortgage Setup'!B9/12))))</f>
        <v>1816.07</v>
      </c>
      <c r="D166" s="35">
        <f>IF(A166="",0,IF(G165&lt;=0,0,MIN(C166-E166,G165)))</f>
        <v>741.49</v>
      </c>
      <c r="E166" s="35">
        <f>IF(A166="",0,IF(G165&lt;=0,0,ROUND(G165*('Mortgage Setup'!B9/12),2)))</f>
        <v>1074.58</v>
      </c>
      <c r="F166" s="35">
        <f>IF(A166="",0,IF(G165&lt;=0,0,MIN('Mortgage Setup'!B12,MAX(G165-D166,0))))</f>
        <v>100</v>
      </c>
      <c r="G166" s="35">
        <f>IF(A166="",0,MAX(G165-D166-F166,0))</f>
        <v>190194.81</v>
      </c>
      <c r="H166" s="35">
        <f>IF(A166="",0,H165+E166)</f>
        <v>220598.15000000005</v>
      </c>
    </row>
    <row r="167" ht="26" customHeight="1" spans="1:8" x14ac:dyDescent="0.25">
      <c r="A167" s="30">
        <f>IF(G166&gt;0,163,"")</f>
        <v>163</v>
      </c>
      <c r="B167" s="31">
        <f>IF(A167="","",DATE(YEAR('Mortgage Setup'!B11),MONTH('Mortgage Setup'!B11)+162,DAY('Mortgage Setup'!B11)))</f>
        <v>50952</v>
      </c>
      <c r="C167" s="32">
        <f>IF(A167="",0,IF(G166&lt;=0,0,MIN('Mortgage Setup'!B21,G166*(1+'Mortgage Setup'!B9/12))))</f>
        <v>1816.07</v>
      </c>
      <c r="D167" s="32">
        <f>IF(A167="",0,IF(G166&lt;=0,0,MIN(C167-E167,G166)))</f>
        <v>746.22</v>
      </c>
      <c r="E167" s="32">
        <f>IF(A167="",0,IF(G166&lt;=0,0,ROUND(G166*('Mortgage Setup'!B9/12),2)))</f>
        <v>1069.85</v>
      </c>
      <c r="F167" s="32">
        <f>IF(A167="",0,IF(G166&lt;=0,0,MIN('Mortgage Setup'!B12,MAX(G166-D167,0))))</f>
        <v>100</v>
      </c>
      <c r="G167" s="32">
        <f>IF(A167="",0,MAX(G166-D167-F167,0))</f>
        <v>189348.59</v>
      </c>
      <c r="H167" s="32">
        <f>IF(A167="",0,H166+E167)</f>
        <v>221668.00000000006</v>
      </c>
    </row>
    <row r="168" ht="26" customHeight="1" spans="1:8" x14ac:dyDescent="0.25">
      <c r="A168" s="33">
        <f>IF(G167&gt;0,164,"")</f>
        <v>164</v>
      </c>
      <c r="B168" s="34">
        <f>IF(A168="","",DATE(YEAR('Mortgage Setup'!B11),MONTH('Mortgage Setup'!B11)+163,DAY('Mortgage Setup'!B11)))</f>
        <v>50983</v>
      </c>
      <c r="C168" s="35">
        <f>IF(A168="",0,IF(G167&lt;=0,0,MIN('Mortgage Setup'!B21,G167*(1+'Mortgage Setup'!B9/12))))</f>
        <v>1816.07</v>
      </c>
      <c r="D168" s="35">
        <f>IF(A168="",0,IF(G167&lt;=0,0,MIN(C168-E168,G167)))</f>
        <v>750.98</v>
      </c>
      <c r="E168" s="35">
        <f>IF(A168="",0,IF(G167&lt;=0,0,ROUND(G167*('Mortgage Setup'!B9/12),2)))</f>
        <v>1065.09</v>
      </c>
      <c r="F168" s="35">
        <f>IF(A168="",0,IF(G167&lt;=0,0,MIN('Mortgage Setup'!B12,MAX(G167-D168,0))))</f>
        <v>100</v>
      </c>
      <c r="G168" s="35">
        <f>IF(A168="",0,MAX(G167-D168-F168,0))</f>
        <v>188497.61</v>
      </c>
      <c r="H168" s="35">
        <f>IF(A168="",0,H167+E168)</f>
        <v>222733.09000000005</v>
      </c>
    </row>
    <row r="169" ht="26" customHeight="1" spans="1:8" x14ac:dyDescent="0.25">
      <c r="A169" s="30">
        <f>IF(G168&gt;0,165,"")</f>
        <v>165</v>
      </c>
      <c r="B169" s="31">
        <f>IF(A169="","",DATE(YEAR('Mortgage Setup'!B11),MONTH('Mortgage Setup'!B11)+164,DAY('Mortgage Setup'!B11)))</f>
        <v>51014</v>
      </c>
      <c r="C169" s="32">
        <f>IF(A169="",0,IF(G168&lt;=0,0,MIN('Mortgage Setup'!B21,G168*(1+'Mortgage Setup'!B9/12))))</f>
        <v>1816.07</v>
      </c>
      <c r="D169" s="32">
        <f>IF(A169="",0,IF(G168&lt;=0,0,MIN(C169-E169,G168)))</f>
        <v>755.77</v>
      </c>
      <c r="E169" s="32">
        <f>IF(A169="",0,IF(G168&lt;=0,0,ROUND(G168*('Mortgage Setup'!B9/12),2)))</f>
        <v>1060.3</v>
      </c>
      <c r="F169" s="32">
        <f>IF(A169="",0,IF(G168&lt;=0,0,MIN('Mortgage Setup'!B12,MAX(G168-D169,0))))</f>
        <v>100</v>
      </c>
      <c r="G169" s="32">
        <f>IF(A169="",0,MAX(G168-D169-F169,0))</f>
        <v>187641.84</v>
      </c>
      <c r="H169" s="32">
        <f>IF(A169="",0,H168+E169)</f>
        <v>223793.39000000004</v>
      </c>
    </row>
    <row r="170" ht="26" customHeight="1" spans="1:8" x14ac:dyDescent="0.25">
      <c r="A170" s="33">
        <f>IF(G169&gt;0,166,"")</f>
        <v>166</v>
      </c>
      <c r="B170" s="34">
        <f>IF(A170="","",DATE(YEAR('Mortgage Setup'!B11),MONTH('Mortgage Setup'!B11)+165,DAY('Mortgage Setup'!B11)))</f>
        <v>51044</v>
      </c>
      <c r="C170" s="35">
        <f>IF(A170="",0,IF(G169&lt;=0,0,MIN('Mortgage Setup'!B21,G169*(1+'Mortgage Setup'!B9/12))))</f>
        <v>1816.07</v>
      </c>
      <c r="D170" s="35">
        <f>IF(A170="",0,IF(G169&lt;=0,0,MIN(C170-E170,G169)))</f>
        <v>760.58</v>
      </c>
      <c r="E170" s="35">
        <f>IF(A170="",0,IF(G169&lt;=0,0,ROUND(G169*('Mortgage Setup'!B9/12),2)))</f>
        <v>1055.49</v>
      </c>
      <c r="F170" s="35">
        <f>IF(A170="",0,IF(G169&lt;=0,0,MIN('Mortgage Setup'!B12,MAX(G169-D170,0))))</f>
        <v>100</v>
      </c>
      <c r="G170" s="35">
        <f>IF(A170="",0,MAX(G169-D170-F170,0))</f>
        <v>186781.26</v>
      </c>
      <c r="H170" s="35">
        <f>IF(A170="",0,H169+E170)</f>
        <v>224848.88000000003</v>
      </c>
    </row>
    <row r="171" ht="26" customHeight="1" spans="1:8" x14ac:dyDescent="0.25">
      <c r="A171" s="30">
        <f>IF(G170&gt;0,167,"")</f>
        <v>167</v>
      </c>
      <c r="B171" s="31">
        <f>IF(A171="","",DATE(YEAR('Mortgage Setup'!B11),MONTH('Mortgage Setup'!B11)+166,DAY('Mortgage Setup'!B11)))</f>
        <v>51075</v>
      </c>
      <c r="C171" s="32">
        <f>IF(A171="",0,IF(G170&lt;=0,0,MIN('Mortgage Setup'!B21,G170*(1+'Mortgage Setup'!B9/12))))</f>
        <v>1816.07</v>
      </c>
      <c r="D171" s="32">
        <f>IF(A171="",0,IF(G170&lt;=0,0,MIN(C171-E171,G170)))</f>
        <v>765.43</v>
      </c>
      <c r="E171" s="32">
        <f>IF(A171="",0,IF(G170&lt;=0,0,ROUND(G170*('Mortgage Setup'!B9/12),2)))</f>
        <v>1050.64</v>
      </c>
      <c r="F171" s="32">
        <f>IF(A171="",0,IF(G170&lt;=0,0,MIN('Mortgage Setup'!B12,MAX(G170-D171,0))))</f>
        <v>100</v>
      </c>
      <c r="G171" s="32">
        <f>IF(A171="",0,MAX(G170-D171-F171,0))</f>
        <v>185915.83</v>
      </c>
      <c r="H171" s="32">
        <f>IF(A171="",0,H170+E171)</f>
        <v>225899.52000000005</v>
      </c>
    </row>
    <row r="172" ht="26" customHeight="1" spans="1:8" x14ac:dyDescent="0.25">
      <c r="A172" s="33">
        <f>IF(G171&gt;0,168,"")</f>
        <v>168</v>
      </c>
      <c r="B172" s="34">
        <f>IF(A172="","",DATE(YEAR('Mortgage Setup'!B11),MONTH('Mortgage Setup'!B11)+167,DAY('Mortgage Setup'!B11)))</f>
        <v>51105</v>
      </c>
      <c r="C172" s="35">
        <f>IF(A172="",0,IF(G171&lt;=0,0,MIN('Mortgage Setup'!B21,G171*(1+'Mortgage Setup'!B9/12))))</f>
        <v>1816.07</v>
      </c>
      <c r="D172" s="35">
        <f>IF(A172="",0,IF(G171&lt;=0,0,MIN(C172-E172,G171)))</f>
        <v>770.29</v>
      </c>
      <c r="E172" s="35">
        <f>IF(A172="",0,IF(G171&lt;=0,0,ROUND(G171*('Mortgage Setup'!B9/12),2)))</f>
        <v>1045.78</v>
      </c>
      <c r="F172" s="35">
        <f>IF(A172="",0,IF(G171&lt;=0,0,MIN('Mortgage Setup'!B12,MAX(G171-D172,0))))</f>
        <v>100</v>
      </c>
      <c r="G172" s="35">
        <f>IF(A172="",0,MAX(G171-D172-F172,0))</f>
        <v>185045.54</v>
      </c>
      <c r="H172" s="35">
        <f>IF(A172="",0,H171+E172)</f>
        <v>226945.30000000005</v>
      </c>
    </row>
    <row r="173" ht="26" customHeight="1" spans="1:8" x14ac:dyDescent="0.25">
      <c r="A173" s="30">
        <f>IF(G172&gt;0,169,"")</f>
        <v>169</v>
      </c>
      <c r="B173" s="31">
        <f>IF(A173="","",DATE(YEAR('Mortgage Setup'!B11),MONTH('Mortgage Setup'!B11)+168,DAY('Mortgage Setup'!B11)))</f>
        <v>51136</v>
      </c>
      <c r="C173" s="32">
        <f>IF(A173="",0,IF(G172&lt;=0,0,MIN('Mortgage Setup'!B21,G172*(1+'Mortgage Setup'!B9/12))))</f>
        <v>1816.07</v>
      </c>
      <c r="D173" s="32">
        <f>IF(A173="",0,IF(G172&lt;=0,0,MIN(C173-E173,G172)))</f>
        <v>775.19</v>
      </c>
      <c r="E173" s="32">
        <f>IF(A173="",0,IF(G172&lt;=0,0,ROUND(G172*('Mortgage Setup'!B9/12),2)))</f>
        <v>1040.88</v>
      </c>
      <c r="F173" s="32">
        <f>IF(A173="",0,IF(G172&lt;=0,0,MIN('Mortgage Setup'!B12,MAX(G172-D173,0))))</f>
        <v>100</v>
      </c>
      <c r="G173" s="32">
        <f>IF(A173="",0,MAX(G172-D173-F173,0))</f>
        <v>184170.35</v>
      </c>
      <c r="H173" s="32">
        <f>IF(A173="",0,H172+E173)</f>
        <v>227986.18000000005</v>
      </c>
    </row>
    <row r="174" ht="26" customHeight="1" spans="1:8" x14ac:dyDescent="0.25">
      <c r="A174" s="33">
        <f>IF(G173&gt;0,170,"")</f>
        <v>170</v>
      </c>
      <c r="B174" s="34">
        <f>IF(A174="","",DATE(YEAR('Mortgage Setup'!B11),MONTH('Mortgage Setup'!B11)+169,DAY('Mortgage Setup'!B11)))</f>
        <v>51167</v>
      </c>
      <c r="C174" s="35">
        <f>IF(A174="",0,IF(G173&lt;=0,0,MIN('Mortgage Setup'!B21,G173*(1+'Mortgage Setup'!B9/12))))</f>
        <v>1816.07</v>
      </c>
      <c r="D174" s="35">
        <f>IF(A174="",0,IF(G173&lt;=0,0,MIN(C174-E174,G173)))</f>
        <v>780.11</v>
      </c>
      <c r="E174" s="35">
        <f>IF(A174="",0,IF(G173&lt;=0,0,ROUND(G173*('Mortgage Setup'!B9/12),2)))</f>
        <v>1035.96</v>
      </c>
      <c r="F174" s="35">
        <f>IF(A174="",0,IF(G173&lt;=0,0,MIN('Mortgage Setup'!B12,MAX(G173-D174,0))))</f>
        <v>100</v>
      </c>
      <c r="G174" s="35">
        <f>IF(A174="",0,MAX(G173-D174-F174,0))</f>
        <v>183290.24</v>
      </c>
      <c r="H174" s="35">
        <f>IF(A174="",0,H173+E174)</f>
        <v>229022.14000000004</v>
      </c>
    </row>
    <row r="175" ht="26" customHeight="1" spans="1:8" x14ac:dyDescent="0.25">
      <c r="A175" s="30">
        <f>IF(G174&gt;0,171,"")</f>
        <v>171</v>
      </c>
      <c r="B175" s="31">
        <f>IF(A175="","",DATE(YEAR('Mortgage Setup'!B11),MONTH('Mortgage Setup'!B11)+170,DAY('Mortgage Setup'!B11)))</f>
        <v>51196</v>
      </c>
      <c r="C175" s="32">
        <f>IF(A175="",0,IF(G174&lt;=0,0,MIN('Mortgage Setup'!B21,G174*(1+'Mortgage Setup'!B9/12))))</f>
        <v>1816.07</v>
      </c>
      <c r="D175" s="32">
        <f>IF(A175="",0,IF(G174&lt;=0,0,MIN(C175-E175,G174)))</f>
        <v>785.06</v>
      </c>
      <c r="E175" s="32">
        <f>IF(A175="",0,IF(G174&lt;=0,0,ROUND(G174*('Mortgage Setup'!B9/12),2)))</f>
        <v>1031.01</v>
      </c>
      <c r="F175" s="32">
        <f>IF(A175="",0,IF(G174&lt;=0,0,MIN('Mortgage Setup'!B12,MAX(G174-D175,0))))</f>
        <v>100</v>
      </c>
      <c r="G175" s="32">
        <f>IF(A175="",0,MAX(G174-D175-F175,0))</f>
        <v>182405.18</v>
      </c>
      <c r="H175" s="32">
        <f>IF(A175="",0,H174+E175)</f>
        <v>230053.15000000005</v>
      </c>
    </row>
    <row r="176" ht="26" customHeight="1" spans="1:8" x14ac:dyDescent="0.25">
      <c r="A176" s="33">
        <f>IF(G175&gt;0,172,"")</f>
        <v>172</v>
      </c>
      <c r="B176" s="34">
        <f>IF(A176="","",DATE(YEAR('Mortgage Setup'!B11),MONTH('Mortgage Setup'!B11)+171,DAY('Mortgage Setup'!B11)))</f>
        <v>51227</v>
      </c>
      <c r="C176" s="35">
        <f>IF(A176="",0,IF(G175&lt;=0,0,MIN('Mortgage Setup'!B21,G175*(1+'Mortgage Setup'!B9/12))))</f>
        <v>1816.07</v>
      </c>
      <c r="D176" s="35">
        <f>IF(A176="",0,IF(G175&lt;=0,0,MIN(C176-E176,G175)))</f>
        <v>790.04</v>
      </c>
      <c r="E176" s="35">
        <f>IF(A176="",0,IF(G175&lt;=0,0,ROUND(G175*('Mortgage Setup'!B9/12),2)))</f>
        <v>1026.03</v>
      </c>
      <c r="F176" s="35">
        <f>IF(A176="",0,IF(G175&lt;=0,0,MIN('Mortgage Setup'!B12,MAX(G175-D176,0))))</f>
        <v>100</v>
      </c>
      <c r="G176" s="35">
        <f>IF(A176="",0,MAX(G175-D176-F176,0))</f>
        <v>181515.14</v>
      </c>
      <c r="H176" s="35">
        <f>IF(A176="",0,H175+E176)</f>
        <v>231079.18000000005</v>
      </c>
    </row>
    <row r="177" ht="26" customHeight="1" spans="1:8" x14ac:dyDescent="0.25">
      <c r="A177" s="30">
        <f>IF(G176&gt;0,173,"")</f>
        <v>173</v>
      </c>
      <c r="B177" s="31">
        <f>IF(A177="","",DATE(YEAR('Mortgage Setup'!B11),MONTH('Mortgage Setup'!B11)+172,DAY('Mortgage Setup'!B11)))</f>
        <v>51257</v>
      </c>
      <c r="C177" s="32">
        <f>IF(A177="",0,IF(G176&lt;=0,0,MIN('Mortgage Setup'!B21,G176*(1+'Mortgage Setup'!B9/12))))</f>
        <v>1816.07</v>
      </c>
      <c r="D177" s="32">
        <f>IF(A177="",0,IF(G176&lt;=0,0,MIN(C177-E177,G176)))</f>
        <v>795.05</v>
      </c>
      <c r="E177" s="32">
        <f>IF(A177="",0,IF(G176&lt;=0,0,ROUND(G176*('Mortgage Setup'!B9/12),2)))</f>
        <v>1021.02</v>
      </c>
      <c r="F177" s="32">
        <f>IF(A177="",0,IF(G176&lt;=0,0,MIN('Mortgage Setup'!B12,MAX(G176-D177,0))))</f>
        <v>100</v>
      </c>
      <c r="G177" s="32">
        <f>IF(A177="",0,MAX(G176-D177-F177,0))</f>
        <v>180620.09</v>
      </c>
      <c r="H177" s="32">
        <f>IF(A177="",0,H176+E177)</f>
        <v>232100.20000000004</v>
      </c>
    </row>
    <row r="178" ht="26" customHeight="1" spans="1:8" x14ac:dyDescent="0.25">
      <c r="A178" s="33">
        <f>IF(G177&gt;0,174,"")</f>
        <v>174</v>
      </c>
      <c r="B178" s="34">
        <f>IF(A178="","",DATE(YEAR('Mortgage Setup'!B11),MONTH('Mortgage Setup'!B11)+173,DAY('Mortgage Setup'!B11)))</f>
        <v>51288</v>
      </c>
      <c r="C178" s="35">
        <f>IF(A178="",0,IF(G177&lt;=0,0,MIN('Mortgage Setup'!B21,G177*(1+'Mortgage Setup'!B9/12))))</f>
        <v>1816.07</v>
      </c>
      <c r="D178" s="35">
        <f>IF(A178="",0,IF(G177&lt;=0,0,MIN(C178-E178,G177)))</f>
        <v>800.08</v>
      </c>
      <c r="E178" s="35">
        <f>IF(A178="",0,IF(G177&lt;=0,0,ROUND(G177*('Mortgage Setup'!B9/12),2)))</f>
        <v>1015.99</v>
      </c>
      <c r="F178" s="35">
        <f>IF(A178="",0,IF(G177&lt;=0,0,MIN('Mortgage Setup'!B12,MAX(G177-D178,0))))</f>
        <v>100</v>
      </c>
      <c r="G178" s="35">
        <f>IF(A178="",0,MAX(G177-D178-F178,0))</f>
        <v>179720.01</v>
      </c>
      <c r="H178" s="35">
        <f>IF(A178="",0,H177+E178)</f>
        <v>233116.19000000003</v>
      </c>
    </row>
    <row r="179" ht="26" customHeight="1" spans="1:8" x14ac:dyDescent="0.25">
      <c r="A179" s="30">
        <f>IF(G178&gt;0,175,"")</f>
        <v>175</v>
      </c>
      <c r="B179" s="31">
        <f>IF(A179="","",DATE(YEAR('Mortgage Setup'!B11),MONTH('Mortgage Setup'!B11)+174,DAY('Mortgage Setup'!B11)))</f>
        <v>51318</v>
      </c>
      <c r="C179" s="32">
        <f>IF(A179="",0,IF(G178&lt;=0,0,MIN('Mortgage Setup'!B21,G178*(1+'Mortgage Setup'!B9/12))))</f>
        <v>1816.07</v>
      </c>
      <c r="D179" s="32">
        <f>IF(A179="",0,IF(G178&lt;=0,0,MIN(C179-E179,G178)))</f>
        <v>805.14</v>
      </c>
      <c r="E179" s="32">
        <f>IF(A179="",0,IF(G178&lt;=0,0,ROUND(G178*('Mortgage Setup'!B9/12),2)))</f>
        <v>1010.93</v>
      </c>
      <c r="F179" s="32">
        <f>IF(A179="",0,IF(G178&lt;=0,0,MIN('Mortgage Setup'!B12,MAX(G178-D179,0))))</f>
        <v>100</v>
      </c>
      <c r="G179" s="32">
        <f>IF(A179="",0,MAX(G178-D179-F179,0))</f>
        <v>178814.87</v>
      </c>
      <c r="H179" s="32">
        <f>IF(A179="",0,H178+E179)</f>
        <v>234127.12000000002</v>
      </c>
    </row>
    <row r="180" ht="26" customHeight="1" spans="1:8" x14ac:dyDescent="0.25">
      <c r="A180" s="33">
        <f>IF(G179&gt;0,176,"")</f>
        <v>176</v>
      </c>
      <c r="B180" s="34">
        <f>IF(A180="","",DATE(YEAR('Mortgage Setup'!B11),MONTH('Mortgage Setup'!B11)+175,DAY('Mortgage Setup'!B11)))</f>
        <v>51349</v>
      </c>
      <c r="C180" s="35">
        <f>IF(A180="",0,IF(G179&lt;=0,0,MIN('Mortgage Setup'!B21,G179*(1+'Mortgage Setup'!B9/12))))</f>
        <v>1816.07</v>
      </c>
      <c r="D180" s="35">
        <f>IF(A180="",0,IF(G179&lt;=0,0,MIN(C180-E180,G179)))</f>
        <v>810.24</v>
      </c>
      <c r="E180" s="35">
        <f>IF(A180="",0,IF(G179&lt;=0,0,ROUND(G179*('Mortgage Setup'!B9/12),2)))</f>
        <v>1005.83</v>
      </c>
      <c r="F180" s="35">
        <f>IF(A180="",0,IF(G179&lt;=0,0,MIN('Mortgage Setup'!B12,MAX(G179-D180,0))))</f>
        <v>100</v>
      </c>
      <c r="G180" s="35">
        <f>IF(A180="",0,MAX(G179-D180-F180,0))</f>
        <v>177904.63</v>
      </c>
      <c r="H180" s="35">
        <f>IF(A180="",0,H179+E180)</f>
        <v>235132.95</v>
      </c>
    </row>
    <row r="181" ht="26" customHeight="1" spans="1:8" x14ac:dyDescent="0.25">
      <c r="A181" s="30">
        <f>IF(G180&gt;0,177,"")</f>
        <v>177</v>
      </c>
      <c r="B181" s="31">
        <f>IF(A181="","",DATE(YEAR('Mortgage Setup'!B11),MONTH('Mortgage Setup'!B11)+176,DAY('Mortgage Setup'!B11)))</f>
        <v>51380</v>
      </c>
      <c r="C181" s="32">
        <f>IF(A181="",0,IF(G180&lt;=0,0,MIN('Mortgage Setup'!B21,G180*(1+'Mortgage Setup'!B9/12))))</f>
        <v>1816.07</v>
      </c>
      <c r="D181" s="32">
        <f>IF(A181="",0,IF(G180&lt;=0,0,MIN(C181-E181,G180)))</f>
        <v>815.36</v>
      </c>
      <c r="E181" s="32">
        <f>IF(A181="",0,IF(G180&lt;=0,0,ROUND(G180*('Mortgage Setup'!B9/12),2)))</f>
        <v>1000.71</v>
      </c>
      <c r="F181" s="32">
        <f>IF(A181="",0,IF(G180&lt;=0,0,MIN('Mortgage Setup'!B12,MAX(G180-D181,0))))</f>
        <v>100</v>
      </c>
      <c r="G181" s="32">
        <f>IF(A181="",0,MAX(G180-D181-F181,0))</f>
        <v>176989.27</v>
      </c>
      <c r="H181" s="32">
        <f>IF(A181="",0,H180+E181)</f>
        <v>236133.66</v>
      </c>
    </row>
    <row r="182" ht="26" customHeight="1" spans="1:8" x14ac:dyDescent="0.25">
      <c r="A182" s="33">
        <f>IF(G181&gt;0,178,"")</f>
        <v>178</v>
      </c>
      <c r="B182" s="34">
        <f>IF(A182="","",DATE(YEAR('Mortgage Setup'!B11),MONTH('Mortgage Setup'!B11)+177,DAY('Mortgage Setup'!B11)))</f>
        <v>51410</v>
      </c>
      <c r="C182" s="35">
        <f>IF(A182="",0,IF(G181&lt;=0,0,MIN('Mortgage Setup'!B21,G181*(1+'Mortgage Setup'!B9/12))))</f>
        <v>1816.07</v>
      </c>
      <c r="D182" s="35">
        <f>IF(A182="",0,IF(G181&lt;=0,0,MIN(C182-E182,G181)))</f>
        <v>820.51</v>
      </c>
      <c r="E182" s="35">
        <f>IF(A182="",0,IF(G181&lt;=0,0,ROUND(G181*('Mortgage Setup'!B9/12),2)))</f>
        <v>995.56</v>
      </c>
      <c r="F182" s="35">
        <f>IF(A182="",0,IF(G181&lt;=0,0,MIN('Mortgage Setup'!B12,MAX(G181-D182,0))))</f>
        <v>100</v>
      </c>
      <c r="G182" s="35">
        <f>IF(A182="",0,MAX(G181-D182-F182,0))</f>
        <v>176068.76</v>
      </c>
      <c r="H182" s="35">
        <f>IF(A182="",0,H181+E182)</f>
        <v>237129.22</v>
      </c>
    </row>
    <row r="183" ht="26" customHeight="1" spans="1:8" x14ac:dyDescent="0.25">
      <c r="A183" s="30">
        <f>IF(G182&gt;0,179,"")</f>
        <v>179</v>
      </c>
      <c r="B183" s="31">
        <f>IF(A183="","",DATE(YEAR('Mortgage Setup'!B11),MONTH('Mortgage Setup'!B11)+178,DAY('Mortgage Setup'!B11)))</f>
        <v>51441</v>
      </c>
      <c r="C183" s="32">
        <f>IF(A183="",0,IF(G182&lt;=0,0,MIN('Mortgage Setup'!B21,G182*(1+'Mortgage Setup'!B9/12))))</f>
        <v>1816.07</v>
      </c>
      <c r="D183" s="32">
        <f>IF(A183="",0,IF(G182&lt;=0,0,MIN(C183-E183,G182)))</f>
        <v>825.68</v>
      </c>
      <c r="E183" s="32">
        <f>IF(A183="",0,IF(G182&lt;=0,0,ROUND(G182*('Mortgage Setup'!B9/12),2)))</f>
        <v>990.39</v>
      </c>
      <c r="F183" s="32">
        <f>IF(A183="",0,IF(G182&lt;=0,0,MIN('Mortgage Setup'!B12,MAX(G182-D183,0))))</f>
        <v>100</v>
      </c>
      <c r="G183" s="32">
        <f>IF(A183="",0,MAX(G182-D183-F183,0))</f>
        <v>175143.08</v>
      </c>
      <c r="H183" s="32">
        <f>IF(A183="",0,H182+E183)</f>
        <v>238119.61000000002</v>
      </c>
    </row>
    <row r="184" ht="26" customHeight="1" spans="1:8" x14ac:dyDescent="0.25">
      <c r="A184" s="33">
        <f>IF(G183&gt;0,180,"")</f>
        <v>180</v>
      </c>
      <c r="B184" s="34">
        <f>IF(A184="","",DATE(YEAR('Mortgage Setup'!B11),MONTH('Mortgage Setup'!B11)+179,DAY('Mortgage Setup'!B11)))</f>
        <v>51471</v>
      </c>
      <c r="C184" s="35">
        <f>IF(A184="",0,IF(G183&lt;=0,0,MIN('Mortgage Setup'!B21,G183*(1+'Mortgage Setup'!B9/12))))</f>
        <v>1816.07</v>
      </c>
      <c r="D184" s="35">
        <f>IF(A184="",0,IF(G183&lt;=0,0,MIN(C184-E184,G183)))</f>
        <v>830.89</v>
      </c>
      <c r="E184" s="35">
        <f>IF(A184="",0,IF(G183&lt;=0,0,ROUND(G183*('Mortgage Setup'!B9/12),2)))</f>
        <v>985.18</v>
      </c>
      <c r="F184" s="35">
        <f>IF(A184="",0,IF(G183&lt;=0,0,MIN('Mortgage Setup'!B12,MAX(G183-D184,0))))</f>
        <v>100</v>
      </c>
      <c r="G184" s="35">
        <f>IF(A184="",0,MAX(G183-D184-F184,0))</f>
        <v>174212.19</v>
      </c>
      <c r="H184" s="35">
        <f>IF(A184="",0,H183+E184)</f>
        <v>239104.79</v>
      </c>
    </row>
    <row r="185" ht="26" customHeight="1" spans="1:8" x14ac:dyDescent="0.25">
      <c r="A185" s="30">
        <f>IF(G184&gt;0,181,"")</f>
        <v>181</v>
      </c>
      <c r="B185" s="31">
        <f>IF(A185="","",DATE(YEAR('Mortgage Setup'!B11),MONTH('Mortgage Setup'!B11)+180,DAY('Mortgage Setup'!B11)))</f>
        <v>51502</v>
      </c>
      <c r="C185" s="32">
        <f>IF(A185="",0,IF(G184&lt;=0,0,MIN('Mortgage Setup'!B21,G184*(1+'Mortgage Setup'!B9/12))))</f>
        <v>1816.07</v>
      </c>
      <c r="D185" s="32">
        <f>IF(A185="",0,IF(G184&lt;=0,0,MIN(C185-E185,G184)))</f>
        <v>836.13</v>
      </c>
      <c r="E185" s="32">
        <f>IF(A185="",0,IF(G184&lt;=0,0,ROUND(G184*('Mortgage Setup'!B9/12),2)))</f>
        <v>979.94</v>
      </c>
      <c r="F185" s="32">
        <f>IF(A185="",0,IF(G184&lt;=0,0,MIN('Mortgage Setup'!B12,MAX(G184-D185,0))))</f>
        <v>100</v>
      </c>
      <c r="G185" s="32">
        <f>IF(A185="",0,MAX(G184-D185-F185,0))</f>
        <v>173276.06</v>
      </c>
      <c r="H185" s="32">
        <f>IF(A185="",0,H184+E185)</f>
        <v>240084.73</v>
      </c>
    </row>
    <row r="186" ht="26" customHeight="1" spans="1:8" x14ac:dyDescent="0.25">
      <c r="A186" s="33">
        <f>IF(G185&gt;0,182,"")</f>
        <v>182</v>
      </c>
      <c r="B186" s="34">
        <f>IF(A186="","",DATE(YEAR('Mortgage Setup'!B11),MONTH('Mortgage Setup'!B11)+181,DAY('Mortgage Setup'!B11)))</f>
        <v>51533</v>
      </c>
      <c r="C186" s="35">
        <f>IF(A186="",0,IF(G185&lt;=0,0,MIN('Mortgage Setup'!B21,G185*(1+'Mortgage Setup'!B9/12))))</f>
        <v>1816.07</v>
      </c>
      <c r="D186" s="35">
        <f>IF(A186="",0,IF(G185&lt;=0,0,MIN(C186-E186,G185)))</f>
        <v>841.39</v>
      </c>
      <c r="E186" s="35">
        <f>IF(A186="",0,IF(G185&lt;=0,0,ROUND(G185*('Mortgage Setup'!B9/12),2)))</f>
        <v>974.68</v>
      </c>
      <c r="F186" s="35">
        <f>IF(A186="",0,IF(G185&lt;=0,0,MIN('Mortgage Setup'!B12,MAX(G185-D186,0))))</f>
        <v>100</v>
      </c>
      <c r="G186" s="35">
        <f>IF(A186="",0,MAX(G185-D186-F186,0))</f>
        <v>172334.67</v>
      </c>
      <c r="H186" s="35">
        <f>IF(A186="",0,H185+E186)</f>
        <v>241059.41</v>
      </c>
    </row>
    <row r="187" ht="26" customHeight="1" spans="1:8" x14ac:dyDescent="0.25">
      <c r="A187" s="30">
        <f>IF(G186&gt;0,183,"")</f>
        <v>183</v>
      </c>
      <c r="B187" s="31">
        <f>IF(A187="","",DATE(YEAR('Mortgage Setup'!B11),MONTH('Mortgage Setup'!B11)+182,DAY('Mortgage Setup'!B11)))</f>
        <v>51561</v>
      </c>
      <c r="C187" s="32">
        <f>IF(A187="",0,IF(G186&lt;=0,0,MIN('Mortgage Setup'!B21,G186*(1+'Mortgage Setup'!B9/12))))</f>
        <v>1816.07</v>
      </c>
      <c r="D187" s="32">
        <f>IF(A187="",0,IF(G186&lt;=0,0,MIN(C187-E187,G186)))</f>
        <v>846.69</v>
      </c>
      <c r="E187" s="32">
        <f>IF(A187="",0,IF(G186&lt;=0,0,ROUND(G186*('Mortgage Setup'!B9/12),2)))</f>
        <v>969.38</v>
      </c>
      <c r="F187" s="32">
        <f>IF(A187="",0,IF(G186&lt;=0,0,MIN('Mortgage Setup'!B12,MAX(G186-D187,0))))</f>
        <v>100</v>
      </c>
      <c r="G187" s="32">
        <f>IF(A187="",0,MAX(G186-D187-F187,0))</f>
        <v>171387.98</v>
      </c>
      <c r="H187" s="32">
        <f>IF(A187="",0,H186+E187)</f>
        <v>242028.79</v>
      </c>
    </row>
    <row r="188" ht="26" customHeight="1" spans="1:8" x14ac:dyDescent="0.25">
      <c r="A188" s="33">
        <f>IF(G187&gt;0,184,"")</f>
        <v>184</v>
      </c>
      <c r="B188" s="34">
        <f>IF(A188="","",DATE(YEAR('Mortgage Setup'!B11),MONTH('Mortgage Setup'!B11)+183,DAY('Mortgage Setup'!B11)))</f>
        <v>51592</v>
      </c>
      <c r="C188" s="35">
        <f>IF(A188="",0,IF(G187&lt;=0,0,MIN('Mortgage Setup'!B21,G187*(1+'Mortgage Setup'!B9/12))))</f>
        <v>1816.07</v>
      </c>
      <c r="D188" s="35">
        <f>IF(A188="",0,IF(G187&lt;=0,0,MIN(C188-E188,G187)))</f>
        <v>852.01</v>
      </c>
      <c r="E188" s="35">
        <f>IF(A188="",0,IF(G187&lt;=0,0,ROUND(G187*('Mortgage Setup'!B9/12),2)))</f>
        <v>964.06</v>
      </c>
      <c r="F188" s="35">
        <f>IF(A188="",0,IF(G187&lt;=0,0,MIN('Mortgage Setup'!B12,MAX(G187-D188,0))))</f>
        <v>100</v>
      </c>
      <c r="G188" s="35">
        <f>IF(A188="",0,MAX(G187-D188-F188,0))</f>
        <v>170435.97</v>
      </c>
      <c r="H188" s="35">
        <f>IF(A188="",0,H187+E188)</f>
        <v>242992.85</v>
      </c>
    </row>
    <row r="189" ht="26" customHeight="1" spans="1:8" x14ac:dyDescent="0.25">
      <c r="A189" s="30">
        <f>IF(G188&gt;0,185,"")</f>
        <v>185</v>
      </c>
      <c r="B189" s="31">
        <f>IF(A189="","",DATE(YEAR('Mortgage Setup'!B11),MONTH('Mortgage Setup'!B11)+184,DAY('Mortgage Setup'!B11)))</f>
        <v>51622</v>
      </c>
      <c r="C189" s="32">
        <f>IF(A189="",0,IF(G188&lt;=0,0,MIN('Mortgage Setup'!B21,G188*(1+'Mortgage Setup'!B9/12))))</f>
        <v>1816.07</v>
      </c>
      <c r="D189" s="32">
        <f>IF(A189="",0,IF(G188&lt;=0,0,MIN(C189-E189,G188)))</f>
        <v>857.37</v>
      </c>
      <c r="E189" s="32">
        <f>IF(A189="",0,IF(G188&lt;=0,0,ROUND(G188*('Mortgage Setup'!B9/12),2)))</f>
        <v>958.7</v>
      </c>
      <c r="F189" s="32">
        <f>IF(A189="",0,IF(G188&lt;=0,0,MIN('Mortgage Setup'!B12,MAX(G188-D189,0))))</f>
        <v>100</v>
      </c>
      <c r="G189" s="32">
        <f>IF(A189="",0,MAX(G188-D189-F189,0))</f>
        <v>169478.6</v>
      </c>
      <c r="H189" s="32">
        <f>IF(A189="",0,H188+E189)</f>
        <v>243951.55000000002</v>
      </c>
    </row>
    <row r="190" ht="26" customHeight="1" spans="1:8" x14ac:dyDescent="0.25">
      <c r="A190" s="33">
        <f>IF(G189&gt;0,186,"")</f>
        <v>186</v>
      </c>
      <c r="B190" s="34">
        <f>IF(A190="","",DATE(YEAR('Mortgage Setup'!B11),MONTH('Mortgage Setup'!B11)+185,DAY('Mortgage Setup'!B11)))</f>
        <v>51653</v>
      </c>
      <c r="C190" s="35">
        <f>IF(A190="",0,IF(G189&lt;=0,0,MIN('Mortgage Setup'!B21,G189*(1+'Mortgage Setup'!B9/12))))</f>
        <v>1816.07</v>
      </c>
      <c r="D190" s="35">
        <f>IF(A190="",0,IF(G189&lt;=0,0,MIN(C190-E190,G189)))</f>
        <v>862.75</v>
      </c>
      <c r="E190" s="35">
        <f>IF(A190="",0,IF(G189&lt;=0,0,ROUND(G189*('Mortgage Setup'!B9/12),2)))</f>
        <v>953.32</v>
      </c>
      <c r="F190" s="35">
        <f>IF(A190="",0,IF(G189&lt;=0,0,MIN('Mortgage Setup'!B12,MAX(G189-D190,0))))</f>
        <v>100</v>
      </c>
      <c r="G190" s="35">
        <f>IF(A190="",0,MAX(G189-D190-F190,0))</f>
        <v>168515.85</v>
      </c>
      <c r="H190" s="35">
        <f>IF(A190="",0,H189+E190)</f>
        <v>244904.87000000002</v>
      </c>
    </row>
    <row r="191" ht="26" customHeight="1" spans="1:8" x14ac:dyDescent="0.25">
      <c r="A191" s="30">
        <f>IF(G190&gt;0,187,"")</f>
        <v>187</v>
      </c>
      <c r="B191" s="31">
        <f>IF(A191="","",DATE(YEAR('Mortgage Setup'!B11),MONTH('Mortgage Setup'!B11)+186,DAY('Mortgage Setup'!B11)))</f>
        <v>51683</v>
      </c>
      <c r="C191" s="32">
        <f>IF(A191="",0,IF(G190&lt;=0,0,MIN('Mortgage Setup'!B21,G190*(1+'Mortgage Setup'!B9/12))))</f>
        <v>1816.07</v>
      </c>
      <c r="D191" s="32">
        <f>IF(A191="",0,IF(G190&lt;=0,0,MIN(C191-E191,G190)))</f>
        <v>868.17</v>
      </c>
      <c r="E191" s="32">
        <f>IF(A191="",0,IF(G190&lt;=0,0,ROUND(G190*('Mortgage Setup'!B9/12),2)))</f>
        <v>947.9</v>
      </c>
      <c r="F191" s="32">
        <f>IF(A191="",0,IF(G190&lt;=0,0,MIN('Mortgage Setup'!B12,MAX(G190-D191,0))))</f>
        <v>100</v>
      </c>
      <c r="G191" s="32">
        <f>IF(A191="",0,MAX(G190-D191-F191,0))</f>
        <v>167547.68</v>
      </c>
      <c r="H191" s="32">
        <f>IF(A191="",0,H190+E191)</f>
        <v>245852.77000000002</v>
      </c>
    </row>
    <row r="192" ht="26" customHeight="1" spans="1:8" x14ac:dyDescent="0.25">
      <c r="A192" s="33">
        <f>IF(G191&gt;0,188,"")</f>
        <v>188</v>
      </c>
      <c r="B192" s="34">
        <f>IF(A192="","",DATE(YEAR('Mortgage Setup'!B11),MONTH('Mortgage Setup'!B11)+187,DAY('Mortgage Setup'!B11)))</f>
        <v>51714</v>
      </c>
      <c r="C192" s="35">
        <f>IF(A192="",0,IF(G191&lt;=0,0,MIN('Mortgage Setup'!B21,G191*(1+'Mortgage Setup'!B9/12))))</f>
        <v>1816.07</v>
      </c>
      <c r="D192" s="35">
        <f>IF(A192="",0,IF(G191&lt;=0,0,MIN(C192-E192,G191)))</f>
        <v>873.61</v>
      </c>
      <c r="E192" s="35">
        <f>IF(A192="",0,IF(G191&lt;=0,0,ROUND(G191*('Mortgage Setup'!B9/12),2)))</f>
        <v>942.46</v>
      </c>
      <c r="F192" s="35">
        <f>IF(A192="",0,IF(G191&lt;=0,0,MIN('Mortgage Setup'!B12,MAX(G191-D192,0))))</f>
        <v>100</v>
      </c>
      <c r="G192" s="35">
        <f>IF(A192="",0,MAX(G191-D192-F192,0))</f>
        <v>166574.07</v>
      </c>
      <c r="H192" s="35">
        <f>IF(A192="",0,H191+E192)</f>
        <v>246795.23</v>
      </c>
    </row>
    <row r="193" ht="26" customHeight="1" spans="1:8" x14ac:dyDescent="0.25">
      <c r="A193" s="30">
        <f>IF(G192&gt;0,189,"")</f>
        <v>189</v>
      </c>
      <c r="B193" s="31">
        <f>IF(A193="","",DATE(YEAR('Mortgage Setup'!B11),MONTH('Mortgage Setup'!B11)+188,DAY('Mortgage Setup'!B11)))</f>
        <v>51745</v>
      </c>
      <c r="C193" s="32">
        <f>IF(A193="",0,IF(G192&lt;=0,0,MIN('Mortgage Setup'!B21,G192*(1+'Mortgage Setup'!B9/12))))</f>
        <v>1816.07</v>
      </c>
      <c r="D193" s="32">
        <f>IF(A193="",0,IF(G192&lt;=0,0,MIN(C193-E193,G192)))</f>
        <v>879.09</v>
      </c>
      <c r="E193" s="32">
        <f>IF(A193="",0,IF(G192&lt;=0,0,ROUND(G192*('Mortgage Setup'!B9/12),2)))</f>
        <v>936.98</v>
      </c>
      <c r="F193" s="32">
        <f>IF(A193="",0,IF(G192&lt;=0,0,MIN('Mortgage Setup'!B12,MAX(G192-D193,0))))</f>
        <v>100</v>
      </c>
      <c r="G193" s="32">
        <f>IF(A193="",0,MAX(G192-D193-F193,0))</f>
        <v>165594.98</v>
      </c>
      <c r="H193" s="32">
        <f>IF(A193="",0,H192+E193)</f>
        <v>247732.21000000002</v>
      </c>
    </row>
    <row r="194" ht="26" customHeight="1" spans="1:8" x14ac:dyDescent="0.25">
      <c r="A194" s="33">
        <f>IF(G193&gt;0,190,"")</f>
        <v>190</v>
      </c>
      <c r="B194" s="34">
        <f>IF(A194="","",DATE(YEAR('Mortgage Setup'!B11),MONTH('Mortgage Setup'!B11)+189,DAY('Mortgage Setup'!B11)))</f>
        <v>51775</v>
      </c>
      <c r="C194" s="35">
        <f>IF(A194="",0,IF(G193&lt;=0,0,MIN('Mortgage Setup'!B21,G193*(1+'Mortgage Setup'!B9/12))))</f>
        <v>1816.07</v>
      </c>
      <c r="D194" s="35">
        <f>IF(A194="",0,IF(G193&lt;=0,0,MIN(C194-E194,G193)))</f>
        <v>884.6</v>
      </c>
      <c r="E194" s="35">
        <f>IF(A194="",0,IF(G193&lt;=0,0,ROUND(G193*('Mortgage Setup'!B9/12),2)))</f>
        <v>931.47</v>
      </c>
      <c r="F194" s="35">
        <f>IF(A194="",0,IF(G193&lt;=0,0,MIN('Mortgage Setup'!B12,MAX(G193-D194,0))))</f>
        <v>100</v>
      </c>
      <c r="G194" s="35">
        <f>IF(A194="",0,MAX(G193-D194-F194,0))</f>
        <v>164610.38</v>
      </c>
      <c r="H194" s="35">
        <f>IF(A194="",0,H193+E194)</f>
        <v>248663.68000000002</v>
      </c>
    </row>
    <row r="195" ht="26" customHeight="1" spans="1:8" x14ac:dyDescent="0.25">
      <c r="A195" s="30">
        <f>IF(G194&gt;0,191,"")</f>
        <v>191</v>
      </c>
      <c r="B195" s="31">
        <f>IF(A195="","",DATE(YEAR('Mortgage Setup'!B11),MONTH('Mortgage Setup'!B11)+190,DAY('Mortgage Setup'!B11)))</f>
        <v>51806</v>
      </c>
      <c r="C195" s="32">
        <f>IF(A195="",0,IF(G194&lt;=0,0,MIN('Mortgage Setup'!B21,G194*(1+'Mortgage Setup'!B9/12))))</f>
        <v>1816.07</v>
      </c>
      <c r="D195" s="32">
        <f>IF(A195="",0,IF(G194&lt;=0,0,MIN(C195-E195,G194)))</f>
        <v>890.14</v>
      </c>
      <c r="E195" s="32">
        <f>IF(A195="",0,IF(G194&lt;=0,0,ROUND(G194*('Mortgage Setup'!B9/12),2)))</f>
        <v>925.93</v>
      </c>
      <c r="F195" s="32">
        <f>IF(A195="",0,IF(G194&lt;=0,0,MIN('Mortgage Setup'!B12,MAX(G194-D195,0))))</f>
        <v>100</v>
      </c>
      <c r="G195" s="32">
        <f>IF(A195="",0,MAX(G194-D195-F195,0))</f>
        <v>163620.24</v>
      </c>
      <c r="H195" s="32">
        <f>IF(A195="",0,H194+E195)</f>
        <v>249589.61000000002</v>
      </c>
    </row>
    <row r="196" ht="26" customHeight="1" spans="1:8" x14ac:dyDescent="0.25">
      <c r="A196" s="33">
        <f>IF(G195&gt;0,192,"")</f>
        <v>192</v>
      </c>
      <c r="B196" s="34">
        <f>IF(A196="","",DATE(YEAR('Mortgage Setup'!B11),MONTH('Mortgage Setup'!B11)+191,DAY('Mortgage Setup'!B11)))</f>
        <v>51836</v>
      </c>
      <c r="C196" s="35">
        <f>IF(A196="",0,IF(G195&lt;=0,0,MIN('Mortgage Setup'!B21,G195*(1+'Mortgage Setup'!B9/12))))</f>
        <v>1816.07</v>
      </c>
      <c r="D196" s="35">
        <f>IF(A196="",0,IF(G195&lt;=0,0,MIN(C196-E196,G195)))</f>
        <v>895.71</v>
      </c>
      <c r="E196" s="35">
        <f>IF(A196="",0,IF(G195&lt;=0,0,ROUND(G195*('Mortgage Setup'!B9/12),2)))</f>
        <v>920.36</v>
      </c>
      <c r="F196" s="35">
        <f>IF(A196="",0,IF(G195&lt;=0,0,MIN('Mortgage Setup'!B12,MAX(G195-D196,0))))</f>
        <v>100</v>
      </c>
      <c r="G196" s="35">
        <f>IF(A196="",0,MAX(G195-D196-F196,0))</f>
        <v>162624.53</v>
      </c>
      <c r="H196" s="35">
        <f>IF(A196="",0,H195+E196)</f>
        <v>250509.97</v>
      </c>
    </row>
    <row r="197" ht="26" customHeight="1" spans="1:8" x14ac:dyDescent="0.25">
      <c r="A197" s="30">
        <f>IF(G196&gt;0,193,"")</f>
        <v>193</v>
      </c>
      <c r="B197" s="31">
        <f>IF(A197="","",DATE(YEAR('Mortgage Setup'!B11),MONTH('Mortgage Setup'!B11)+192,DAY('Mortgage Setup'!B11)))</f>
        <v>51867</v>
      </c>
      <c r="C197" s="32">
        <f>IF(A197="",0,IF(G196&lt;=0,0,MIN('Mortgage Setup'!B21,G196*(1+'Mortgage Setup'!B9/12))))</f>
        <v>1816.07</v>
      </c>
      <c r="D197" s="32">
        <f>IF(A197="",0,IF(G196&lt;=0,0,MIN(C197-E197,G196)))</f>
        <v>901.31</v>
      </c>
      <c r="E197" s="32">
        <f>IF(A197="",0,IF(G196&lt;=0,0,ROUND(G196*('Mortgage Setup'!B9/12),2)))</f>
        <v>914.76</v>
      </c>
      <c r="F197" s="32">
        <f>IF(A197="",0,IF(G196&lt;=0,0,MIN('Mortgage Setup'!B12,MAX(G196-D197,0))))</f>
        <v>100</v>
      </c>
      <c r="G197" s="32">
        <f>IF(A197="",0,MAX(G196-D197-F197,0))</f>
        <v>161623.22</v>
      </c>
      <c r="H197" s="32">
        <f>IF(A197="",0,H196+E197)</f>
        <v>251424.73</v>
      </c>
    </row>
    <row r="198" ht="26" customHeight="1" spans="1:8" x14ac:dyDescent="0.25">
      <c r="A198" s="33">
        <f>IF(G197&gt;0,194,"")</f>
        <v>194</v>
      </c>
      <c r="B198" s="34">
        <f>IF(A198="","",DATE(YEAR('Mortgage Setup'!B11),MONTH('Mortgage Setup'!B11)+193,DAY('Mortgage Setup'!B11)))</f>
        <v>51898</v>
      </c>
      <c r="C198" s="35">
        <f>IF(A198="",0,IF(G197&lt;=0,0,MIN('Mortgage Setup'!B21,G197*(1+'Mortgage Setup'!B9/12))))</f>
        <v>1816.07</v>
      </c>
      <c r="D198" s="35">
        <f>IF(A198="",0,IF(G197&lt;=0,0,MIN(C198-E198,G197)))</f>
        <v>906.94</v>
      </c>
      <c r="E198" s="35">
        <f>IF(A198="",0,IF(G197&lt;=0,0,ROUND(G197*('Mortgage Setup'!B9/12),2)))</f>
        <v>909.13</v>
      </c>
      <c r="F198" s="35">
        <f>IF(A198="",0,IF(G197&lt;=0,0,MIN('Mortgage Setup'!B12,MAX(G197-D198,0))))</f>
        <v>100</v>
      </c>
      <c r="G198" s="35">
        <f>IF(A198="",0,MAX(G197-D198-F198,0))</f>
        <v>160616.28</v>
      </c>
      <c r="H198" s="35">
        <f>IF(A198="",0,H197+E198)</f>
        <v>252333.86000000002</v>
      </c>
    </row>
    <row r="199" ht="26" customHeight="1" spans="1:8" x14ac:dyDescent="0.25">
      <c r="A199" s="30">
        <f>IF(G198&gt;0,195,"")</f>
        <v>195</v>
      </c>
      <c r="B199" s="31">
        <f>IF(A199="","",DATE(YEAR('Mortgage Setup'!B11),MONTH('Mortgage Setup'!B11)+194,DAY('Mortgage Setup'!B11)))</f>
        <v>51926</v>
      </c>
      <c r="C199" s="32">
        <f>IF(A199="",0,IF(G198&lt;=0,0,MIN('Mortgage Setup'!B21,G198*(1+'Mortgage Setup'!B9/12))))</f>
        <v>1816.07</v>
      </c>
      <c r="D199" s="32">
        <f>IF(A199="",0,IF(G198&lt;=0,0,MIN(C199-E199,G198)))</f>
        <v>912.6</v>
      </c>
      <c r="E199" s="32">
        <f>IF(A199="",0,IF(G198&lt;=0,0,ROUND(G198*('Mortgage Setup'!B9/12),2)))</f>
        <v>903.47</v>
      </c>
      <c r="F199" s="32">
        <f>IF(A199="",0,IF(G198&lt;=0,0,MIN('Mortgage Setup'!B12,MAX(G198-D199,0))))</f>
        <v>100</v>
      </c>
      <c r="G199" s="32">
        <f>IF(A199="",0,MAX(G198-D199-F199,0))</f>
        <v>159603.68</v>
      </c>
      <c r="H199" s="32">
        <f>IF(A199="",0,H198+E199)</f>
        <v>253237.33000000002</v>
      </c>
    </row>
    <row r="200" ht="26" customHeight="1" spans="1:8" x14ac:dyDescent="0.25">
      <c r="A200" s="33">
        <f>IF(G199&gt;0,196,"")</f>
        <v>196</v>
      </c>
      <c r="B200" s="34">
        <f>IF(A200="","",DATE(YEAR('Mortgage Setup'!B11),MONTH('Mortgage Setup'!B11)+195,DAY('Mortgage Setup'!B11)))</f>
        <v>51957</v>
      </c>
      <c r="C200" s="35">
        <f>IF(A200="",0,IF(G199&lt;=0,0,MIN('Mortgage Setup'!B21,G199*(1+'Mortgage Setup'!B9/12))))</f>
        <v>1816.07</v>
      </c>
      <c r="D200" s="35">
        <f>IF(A200="",0,IF(G199&lt;=0,0,MIN(C200-E200,G199)))</f>
        <v>918.3</v>
      </c>
      <c r="E200" s="35">
        <f>IF(A200="",0,IF(G199&lt;=0,0,ROUND(G199*('Mortgage Setup'!B9/12),2)))</f>
        <v>897.77</v>
      </c>
      <c r="F200" s="35">
        <f>IF(A200="",0,IF(G199&lt;=0,0,MIN('Mortgage Setup'!B12,MAX(G199-D200,0))))</f>
        <v>100</v>
      </c>
      <c r="G200" s="35">
        <f>IF(A200="",0,MAX(G199-D200-F200,0))</f>
        <v>158585.38</v>
      </c>
      <c r="H200" s="35">
        <f>IF(A200="",0,H199+E200)</f>
        <v>254135.1</v>
      </c>
    </row>
    <row r="201" ht="26" customHeight="1" spans="1:8" x14ac:dyDescent="0.25">
      <c r="A201" s="30">
        <f>IF(G200&gt;0,197,"")</f>
        <v>197</v>
      </c>
      <c r="B201" s="31">
        <f>IF(A201="","",DATE(YEAR('Mortgage Setup'!B11),MONTH('Mortgage Setup'!B11)+196,DAY('Mortgage Setup'!B11)))</f>
        <v>51987</v>
      </c>
      <c r="C201" s="32">
        <f>IF(A201="",0,IF(G200&lt;=0,0,MIN('Mortgage Setup'!B21,G200*(1+'Mortgage Setup'!B9/12))))</f>
        <v>1816.07</v>
      </c>
      <c r="D201" s="32">
        <f>IF(A201="",0,IF(G200&lt;=0,0,MIN(C201-E201,G200)))</f>
        <v>924.03</v>
      </c>
      <c r="E201" s="32">
        <f>IF(A201="",0,IF(G200&lt;=0,0,ROUND(G200*('Mortgage Setup'!B9/12),2)))</f>
        <v>892.04</v>
      </c>
      <c r="F201" s="32">
        <f>IF(A201="",0,IF(G200&lt;=0,0,MIN('Mortgage Setup'!B12,MAX(G200-D201,0))))</f>
        <v>100</v>
      </c>
      <c r="G201" s="32">
        <f>IF(A201="",0,MAX(G200-D201-F201,0))</f>
        <v>157561.35</v>
      </c>
      <c r="H201" s="32">
        <f>IF(A201="",0,H200+E201)</f>
        <v>255027.14</v>
      </c>
    </row>
    <row r="202" ht="26" customHeight="1" spans="1:8" x14ac:dyDescent="0.25">
      <c r="A202" s="33">
        <f>IF(G201&gt;0,198,"")</f>
        <v>198</v>
      </c>
      <c r="B202" s="34">
        <f>IF(A202="","",DATE(YEAR('Mortgage Setup'!B11),MONTH('Mortgage Setup'!B11)+197,DAY('Mortgage Setup'!B11)))</f>
        <v>52018</v>
      </c>
      <c r="C202" s="35">
        <f>IF(A202="",0,IF(G201&lt;=0,0,MIN('Mortgage Setup'!B21,G201*(1+'Mortgage Setup'!B9/12))))</f>
        <v>1816.07</v>
      </c>
      <c r="D202" s="35">
        <f>IF(A202="",0,IF(G201&lt;=0,0,MIN(C202-E202,G201)))</f>
        <v>929.79</v>
      </c>
      <c r="E202" s="35">
        <f>IF(A202="",0,IF(G201&lt;=0,0,ROUND(G201*('Mortgage Setup'!B9/12),2)))</f>
        <v>886.28</v>
      </c>
      <c r="F202" s="35">
        <f>IF(A202="",0,IF(G201&lt;=0,0,MIN('Mortgage Setup'!B12,MAX(G201-D202,0))))</f>
        <v>100</v>
      </c>
      <c r="G202" s="35">
        <f>IF(A202="",0,MAX(G201-D202-F202,0))</f>
        <v>156531.56</v>
      </c>
      <c r="H202" s="35">
        <f>IF(A202="",0,H201+E202)</f>
        <v>255913.42</v>
      </c>
    </row>
    <row r="203" ht="26" customHeight="1" spans="1:8" x14ac:dyDescent="0.25">
      <c r="A203" s="30">
        <f>IF(G202&gt;0,199,"")</f>
        <v>199</v>
      </c>
      <c r="B203" s="31">
        <f>IF(A203="","",DATE(YEAR('Mortgage Setup'!B11),MONTH('Mortgage Setup'!B11)+198,DAY('Mortgage Setup'!B11)))</f>
        <v>52048</v>
      </c>
      <c r="C203" s="32">
        <f>IF(A203="",0,IF(G202&lt;=0,0,MIN('Mortgage Setup'!B21,G202*(1+'Mortgage Setup'!B9/12))))</f>
        <v>1816.07</v>
      </c>
      <c r="D203" s="32">
        <f>IF(A203="",0,IF(G202&lt;=0,0,MIN(C203-E203,G202)))</f>
        <v>935.58</v>
      </c>
      <c r="E203" s="32">
        <f>IF(A203="",0,IF(G202&lt;=0,0,ROUND(G202*('Mortgage Setup'!B9/12),2)))</f>
        <v>880.49</v>
      </c>
      <c r="F203" s="32">
        <f>IF(A203="",0,IF(G202&lt;=0,0,MIN('Mortgage Setup'!B12,MAX(G202-D203,0))))</f>
        <v>100</v>
      </c>
      <c r="G203" s="32">
        <f>IF(A203="",0,MAX(G202-D203-F203,0))</f>
        <v>155495.98</v>
      </c>
      <c r="H203" s="32">
        <f>IF(A203="",0,H202+E203)</f>
        <v>256793.91</v>
      </c>
    </row>
    <row r="204" ht="26" customHeight="1" spans="1:8" x14ac:dyDescent="0.25">
      <c r="A204" s="33">
        <f>IF(G203&gt;0,200,"")</f>
        <v>200</v>
      </c>
      <c r="B204" s="34">
        <f>IF(A204="","",DATE(YEAR('Mortgage Setup'!B11),MONTH('Mortgage Setup'!B11)+199,DAY('Mortgage Setup'!B11)))</f>
        <v>52079</v>
      </c>
      <c r="C204" s="35">
        <f>IF(A204="",0,IF(G203&lt;=0,0,MIN('Mortgage Setup'!B21,G203*(1+'Mortgage Setup'!B9/12))))</f>
        <v>1816.07</v>
      </c>
      <c r="D204" s="35">
        <f>IF(A204="",0,IF(G203&lt;=0,0,MIN(C204-E204,G203)))</f>
        <v>941.41</v>
      </c>
      <c r="E204" s="35">
        <f>IF(A204="",0,IF(G203&lt;=0,0,ROUND(G203*('Mortgage Setup'!B9/12),2)))</f>
        <v>874.66</v>
      </c>
      <c r="F204" s="35">
        <f>IF(A204="",0,IF(G203&lt;=0,0,MIN('Mortgage Setup'!B12,MAX(G203-D204,0))))</f>
        <v>100</v>
      </c>
      <c r="G204" s="35">
        <f>IF(A204="",0,MAX(G203-D204-F204,0))</f>
        <v>154454.57</v>
      </c>
      <c r="H204" s="35">
        <f>IF(A204="",0,H203+E204)</f>
        <v>257668.57</v>
      </c>
    </row>
    <row r="205" ht="26" customHeight="1" spans="1:8" x14ac:dyDescent="0.25">
      <c r="A205" s="30">
        <f>IF(G204&gt;0,201,"")</f>
        <v>201</v>
      </c>
      <c r="B205" s="31">
        <f>IF(A205="","",DATE(YEAR('Mortgage Setup'!B11),MONTH('Mortgage Setup'!B11)+200,DAY('Mortgage Setup'!B11)))</f>
        <v>52110</v>
      </c>
      <c r="C205" s="32">
        <f>IF(A205="",0,IF(G204&lt;=0,0,MIN('Mortgage Setup'!B21,G204*(1+'Mortgage Setup'!B9/12))))</f>
        <v>1816.07</v>
      </c>
      <c r="D205" s="32">
        <f>IF(A205="",0,IF(G204&lt;=0,0,MIN(C205-E205,G204)))</f>
        <v>947.26</v>
      </c>
      <c r="E205" s="32">
        <f>IF(A205="",0,IF(G204&lt;=0,0,ROUND(G204*('Mortgage Setup'!B9/12),2)))</f>
        <v>868.81</v>
      </c>
      <c r="F205" s="32">
        <f>IF(A205="",0,IF(G204&lt;=0,0,MIN('Mortgage Setup'!B12,MAX(G204-D205,0))))</f>
        <v>100</v>
      </c>
      <c r="G205" s="32">
        <f>IF(A205="",0,MAX(G204-D205-F205,0))</f>
        <v>153407.31</v>
      </c>
      <c r="H205" s="32">
        <f>IF(A205="",0,H204+E205)</f>
        <v>258537.38</v>
      </c>
    </row>
    <row r="206" ht="26" customHeight="1" spans="1:8" x14ac:dyDescent="0.25">
      <c r="A206" s="33">
        <f>IF(G205&gt;0,202,"")</f>
        <v>202</v>
      </c>
      <c r="B206" s="34">
        <f>IF(A206="","",DATE(YEAR('Mortgage Setup'!B11),MONTH('Mortgage Setup'!B11)+201,DAY('Mortgage Setup'!B11)))</f>
        <v>52140</v>
      </c>
      <c r="C206" s="35">
        <f>IF(A206="",0,IF(G205&lt;=0,0,MIN('Mortgage Setup'!B21,G205*(1+'Mortgage Setup'!B9/12))))</f>
        <v>1816.07</v>
      </c>
      <c r="D206" s="35">
        <f>IF(A206="",0,IF(G205&lt;=0,0,MIN(C206-E206,G205)))</f>
        <v>953.15</v>
      </c>
      <c r="E206" s="35">
        <f>IF(A206="",0,IF(G205&lt;=0,0,ROUND(G205*('Mortgage Setup'!B9/12),2)))</f>
        <v>862.92</v>
      </c>
      <c r="F206" s="35">
        <f>IF(A206="",0,IF(G205&lt;=0,0,MIN('Mortgage Setup'!B12,MAX(G205-D206,0))))</f>
        <v>100</v>
      </c>
      <c r="G206" s="35">
        <f>IF(A206="",0,MAX(G205-D206-F206,0))</f>
        <v>152354.16</v>
      </c>
      <c r="H206" s="35">
        <f>IF(A206="",0,H205+E206)</f>
        <v>259400.30000000002</v>
      </c>
    </row>
    <row r="207" ht="26" customHeight="1" spans="1:8" x14ac:dyDescent="0.25">
      <c r="A207" s="30">
        <f>IF(G206&gt;0,203,"")</f>
        <v>203</v>
      </c>
      <c r="B207" s="31">
        <f>IF(A207="","",DATE(YEAR('Mortgage Setup'!B11),MONTH('Mortgage Setup'!B11)+202,DAY('Mortgage Setup'!B11)))</f>
        <v>52171</v>
      </c>
      <c r="C207" s="32">
        <f>IF(A207="",0,IF(G206&lt;=0,0,MIN('Mortgage Setup'!B21,G206*(1+'Mortgage Setup'!B9/12))))</f>
        <v>1816.07</v>
      </c>
      <c r="D207" s="32">
        <f>IF(A207="",0,IF(G206&lt;=0,0,MIN(C207-E207,G206)))</f>
        <v>959.08</v>
      </c>
      <c r="E207" s="32">
        <f>IF(A207="",0,IF(G206&lt;=0,0,ROUND(G206*('Mortgage Setup'!B9/12),2)))</f>
        <v>856.99</v>
      </c>
      <c r="F207" s="32">
        <f>IF(A207="",0,IF(G206&lt;=0,0,MIN('Mortgage Setup'!B12,MAX(G206-D207,0))))</f>
        <v>100</v>
      </c>
      <c r="G207" s="32">
        <f>IF(A207="",0,MAX(G206-D207-F207,0))</f>
        <v>151295.08</v>
      </c>
      <c r="H207" s="32">
        <f>IF(A207="",0,H206+E207)</f>
        <v>260257.29</v>
      </c>
    </row>
    <row r="208" ht="26" customHeight="1" spans="1:8" x14ac:dyDescent="0.25">
      <c r="A208" s="33">
        <f>IF(G207&gt;0,204,"")</f>
        <v>204</v>
      </c>
      <c r="B208" s="34">
        <f>IF(A208="","",DATE(YEAR('Mortgage Setup'!B11),MONTH('Mortgage Setup'!B11)+203,DAY('Mortgage Setup'!B11)))</f>
        <v>52201</v>
      </c>
      <c r="C208" s="35">
        <f>IF(A208="",0,IF(G207&lt;=0,0,MIN('Mortgage Setup'!B21,G207*(1+'Mortgage Setup'!B9/12))))</f>
        <v>1816.07</v>
      </c>
      <c r="D208" s="35">
        <f>IF(A208="",0,IF(G207&lt;=0,0,MIN(C208-E208,G207)))</f>
        <v>965.04</v>
      </c>
      <c r="E208" s="35">
        <f>IF(A208="",0,IF(G207&lt;=0,0,ROUND(G207*('Mortgage Setup'!B9/12),2)))</f>
        <v>851.03</v>
      </c>
      <c r="F208" s="35">
        <f>IF(A208="",0,IF(G207&lt;=0,0,MIN('Mortgage Setup'!B12,MAX(G207-D208,0))))</f>
        <v>100</v>
      </c>
      <c r="G208" s="35">
        <f>IF(A208="",0,MAX(G207-D208-F208,0))</f>
        <v>150230.04</v>
      </c>
      <c r="H208" s="35">
        <f>IF(A208="",0,H207+E208)</f>
        <v>261108.32</v>
      </c>
    </row>
    <row r="209" ht="26" customHeight="1" spans="1:8" x14ac:dyDescent="0.25">
      <c r="A209" s="30">
        <f>IF(G208&gt;0,205,"")</f>
        <v>205</v>
      </c>
      <c r="B209" s="31">
        <f>IF(A209="","",DATE(YEAR('Mortgage Setup'!B11),MONTH('Mortgage Setup'!B11)+204,DAY('Mortgage Setup'!B11)))</f>
        <v>52232</v>
      </c>
      <c r="C209" s="32">
        <f>IF(A209="",0,IF(G208&lt;=0,0,MIN('Mortgage Setup'!B21,G208*(1+'Mortgage Setup'!B9/12))))</f>
        <v>1816.07</v>
      </c>
      <c r="D209" s="32">
        <f>IF(A209="",0,IF(G208&lt;=0,0,MIN(C209-E209,G208)))</f>
        <v>971.03</v>
      </c>
      <c r="E209" s="32">
        <f>IF(A209="",0,IF(G208&lt;=0,0,ROUND(G208*('Mortgage Setup'!B9/12),2)))</f>
        <v>845.04</v>
      </c>
      <c r="F209" s="32">
        <f>IF(A209="",0,IF(G208&lt;=0,0,MIN('Mortgage Setup'!B12,MAX(G208-D209,0))))</f>
        <v>100</v>
      </c>
      <c r="G209" s="32">
        <f>IF(A209="",0,MAX(G208-D209-F209,0))</f>
        <v>149159.01</v>
      </c>
      <c r="H209" s="32">
        <f>IF(A209="",0,H208+E209)</f>
        <v>261953.36000000002</v>
      </c>
    </row>
    <row r="210" ht="26" customHeight="1" spans="1:8" x14ac:dyDescent="0.25">
      <c r="A210" s="33">
        <f>IF(G209&gt;0,206,"")</f>
        <v>206</v>
      </c>
      <c r="B210" s="34">
        <f>IF(A210="","",DATE(YEAR('Mortgage Setup'!B11),MONTH('Mortgage Setup'!B11)+205,DAY('Mortgage Setup'!B11)))</f>
        <v>52263</v>
      </c>
      <c r="C210" s="35">
        <f>IF(A210="",0,IF(G209&lt;=0,0,MIN('Mortgage Setup'!B21,G209*(1+'Mortgage Setup'!B9/12))))</f>
        <v>1816.07</v>
      </c>
      <c r="D210" s="35">
        <f>IF(A210="",0,IF(G209&lt;=0,0,MIN(C210-E210,G209)))</f>
        <v>977.05</v>
      </c>
      <c r="E210" s="35">
        <f>IF(A210="",0,IF(G209&lt;=0,0,ROUND(G209*('Mortgage Setup'!B9/12),2)))</f>
        <v>839.02</v>
      </c>
      <c r="F210" s="35">
        <f>IF(A210="",0,IF(G209&lt;=0,0,MIN('Mortgage Setup'!B12,MAX(G209-D210,0))))</f>
        <v>100</v>
      </c>
      <c r="G210" s="35">
        <f>IF(A210="",0,MAX(G209-D210-F210,0))</f>
        <v>148081.96</v>
      </c>
      <c r="H210" s="35">
        <f>IF(A210="",0,H209+E210)</f>
        <v>262792.38</v>
      </c>
    </row>
    <row r="211" ht="26" customHeight="1" spans="1:8" x14ac:dyDescent="0.25">
      <c r="A211" s="30">
        <f>IF(G210&gt;0,207,"")</f>
        <v>207</v>
      </c>
      <c r="B211" s="31">
        <f>IF(A211="","",DATE(YEAR('Mortgage Setup'!B11),MONTH('Mortgage Setup'!B11)+206,DAY('Mortgage Setup'!B11)))</f>
        <v>52291</v>
      </c>
      <c r="C211" s="32">
        <f>IF(A211="",0,IF(G210&lt;=0,0,MIN('Mortgage Setup'!B21,G210*(1+'Mortgage Setup'!B9/12))))</f>
        <v>1816.07</v>
      </c>
      <c r="D211" s="32">
        <f>IF(A211="",0,IF(G210&lt;=0,0,MIN(C211-E211,G210)))</f>
        <v>983.11</v>
      </c>
      <c r="E211" s="32">
        <f>IF(A211="",0,IF(G210&lt;=0,0,ROUND(G210*('Mortgage Setup'!B9/12),2)))</f>
        <v>832.96</v>
      </c>
      <c r="F211" s="32">
        <f>IF(A211="",0,IF(G210&lt;=0,0,MIN('Mortgage Setup'!B12,MAX(G210-D211,0))))</f>
        <v>100</v>
      </c>
      <c r="G211" s="32">
        <f>IF(A211="",0,MAX(G210-D211-F211,0))</f>
        <v>146998.85</v>
      </c>
      <c r="H211" s="32">
        <f>IF(A211="",0,H210+E211)</f>
        <v>263625.34</v>
      </c>
    </row>
    <row r="212" ht="26" customHeight="1" spans="1:8" x14ac:dyDescent="0.25">
      <c r="A212" s="33">
        <f>IF(G211&gt;0,208,"")</f>
        <v>208</v>
      </c>
      <c r="B212" s="34">
        <f>IF(A212="","",DATE(YEAR('Mortgage Setup'!B11),MONTH('Mortgage Setup'!B11)+207,DAY('Mortgage Setup'!B11)))</f>
        <v>52322</v>
      </c>
      <c r="C212" s="35">
        <f>IF(A212="",0,IF(G211&lt;=0,0,MIN('Mortgage Setup'!B21,G211*(1+'Mortgage Setup'!B9/12))))</f>
        <v>1816.07</v>
      </c>
      <c r="D212" s="35">
        <f>IF(A212="",0,IF(G211&lt;=0,0,MIN(C212-E212,G211)))</f>
        <v>989.2</v>
      </c>
      <c r="E212" s="35">
        <f>IF(A212="",0,IF(G211&lt;=0,0,ROUND(G211*('Mortgage Setup'!B9/12),2)))</f>
        <v>826.87</v>
      </c>
      <c r="F212" s="35">
        <f>IF(A212="",0,IF(G211&lt;=0,0,MIN('Mortgage Setup'!B12,MAX(G211-D212,0))))</f>
        <v>100</v>
      </c>
      <c r="G212" s="35">
        <f>IF(A212="",0,MAX(G211-D212-F212,0))</f>
        <v>145909.65</v>
      </c>
      <c r="H212" s="35">
        <f>IF(A212="",0,H211+E212)</f>
        <v>264452.21</v>
      </c>
    </row>
    <row r="213" ht="26" customHeight="1" spans="1:8" x14ac:dyDescent="0.25">
      <c r="A213" s="30">
        <f>IF(G212&gt;0,209,"")</f>
        <v>209</v>
      </c>
      <c r="B213" s="31">
        <f>IF(A213="","",DATE(YEAR('Mortgage Setup'!B11),MONTH('Mortgage Setup'!B11)+208,DAY('Mortgage Setup'!B11)))</f>
        <v>52352</v>
      </c>
      <c r="C213" s="32">
        <f>IF(A213="",0,IF(G212&lt;=0,0,MIN('Mortgage Setup'!B21,G212*(1+'Mortgage Setup'!B9/12))))</f>
        <v>1816.07</v>
      </c>
      <c r="D213" s="32">
        <f>IF(A213="",0,IF(G212&lt;=0,0,MIN(C213-E213,G212)))</f>
        <v>995.33</v>
      </c>
      <c r="E213" s="32">
        <f>IF(A213="",0,IF(G212&lt;=0,0,ROUND(G212*('Mortgage Setup'!B9/12),2)))</f>
        <v>820.74</v>
      </c>
      <c r="F213" s="32">
        <f>IF(A213="",0,IF(G212&lt;=0,0,MIN('Mortgage Setup'!B12,MAX(G212-D213,0))))</f>
        <v>100</v>
      </c>
      <c r="G213" s="32">
        <f>IF(A213="",0,MAX(G212-D213-F213,0))</f>
        <v>144814.32</v>
      </c>
      <c r="H213" s="32">
        <f>IF(A213="",0,H212+E213)</f>
        <v>265272.95</v>
      </c>
    </row>
    <row r="214" ht="26" customHeight="1" spans="1:8" x14ac:dyDescent="0.25">
      <c r="A214" s="33">
        <f>IF(G213&gt;0,210,"")</f>
        <v>210</v>
      </c>
      <c r="B214" s="34">
        <f>IF(A214="","",DATE(YEAR('Mortgage Setup'!B11),MONTH('Mortgage Setup'!B11)+209,DAY('Mortgage Setup'!B11)))</f>
        <v>52383</v>
      </c>
      <c r="C214" s="35">
        <f>IF(A214="",0,IF(G213&lt;=0,0,MIN('Mortgage Setup'!B21,G213*(1+'Mortgage Setup'!B9/12))))</f>
        <v>1816.07</v>
      </c>
      <c r="D214" s="35">
        <f>IF(A214="",0,IF(G213&lt;=0,0,MIN(C214-E214,G213)))</f>
        <v>1001.49</v>
      </c>
      <c r="E214" s="35">
        <f>IF(A214="",0,IF(G213&lt;=0,0,ROUND(G213*('Mortgage Setup'!B9/12),2)))</f>
        <v>814.58</v>
      </c>
      <c r="F214" s="35">
        <f>IF(A214="",0,IF(G213&lt;=0,0,MIN('Mortgage Setup'!B12,MAX(G213-D214,0))))</f>
        <v>100</v>
      </c>
      <c r="G214" s="35">
        <f>IF(A214="",0,MAX(G213-D214-F214,0))</f>
        <v>143712.83</v>
      </c>
      <c r="H214" s="35">
        <f>IF(A214="",0,H213+E214)</f>
        <v>266087.53</v>
      </c>
    </row>
    <row r="215" ht="26" customHeight="1" spans="1:8" x14ac:dyDescent="0.25">
      <c r="A215" s="30">
        <f>IF(G214&gt;0,211,"")</f>
        <v>211</v>
      </c>
      <c r="B215" s="31">
        <f>IF(A215="","",DATE(YEAR('Mortgage Setup'!B11),MONTH('Mortgage Setup'!B11)+210,DAY('Mortgage Setup'!B11)))</f>
        <v>52413</v>
      </c>
      <c r="C215" s="32">
        <f>IF(A215="",0,IF(G214&lt;=0,0,MIN('Mortgage Setup'!B21,G214*(1+'Mortgage Setup'!B9/12))))</f>
        <v>1816.07</v>
      </c>
      <c r="D215" s="32">
        <f>IF(A215="",0,IF(G214&lt;=0,0,MIN(C215-E215,G214)))</f>
        <v>1007.69</v>
      </c>
      <c r="E215" s="32">
        <f>IF(A215="",0,IF(G214&lt;=0,0,ROUND(G214*('Mortgage Setup'!B9/12),2)))</f>
        <v>808.38</v>
      </c>
      <c r="F215" s="32">
        <f>IF(A215="",0,IF(G214&lt;=0,0,MIN('Mortgage Setup'!B12,MAX(G214-D215,0))))</f>
        <v>100</v>
      </c>
      <c r="G215" s="32">
        <f>IF(A215="",0,MAX(G214-D215-F215,0))</f>
        <v>142605.14</v>
      </c>
      <c r="H215" s="32">
        <f>IF(A215="",0,H214+E215)</f>
        <v>266895.91000000003</v>
      </c>
    </row>
    <row r="216" ht="26" customHeight="1" spans="1:8" x14ac:dyDescent="0.25">
      <c r="A216" s="33">
        <f>IF(G215&gt;0,212,"")</f>
        <v>212</v>
      </c>
      <c r="B216" s="34">
        <f>IF(A216="","",DATE(YEAR('Mortgage Setup'!B11),MONTH('Mortgage Setup'!B11)+211,DAY('Mortgage Setup'!B11)))</f>
        <v>52444</v>
      </c>
      <c r="C216" s="35">
        <f>IF(A216="",0,IF(G215&lt;=0,0,MIN('Mortgage Setup'!B21,G215*(1+'Mortgage Setup'!B9/12))))</f>
        <v>1816.07</v>
      </c>
      <c r="D216" s="35">
        <f>IF(A216="",0,IF(G215&lt;=0,0,MIN(C216-E216,G215)))</f>
        <v>1013.92</v>
      </c>
      <c r="E216" s="35">
        <f>IF(A216="",0,IF(G215&lt;=0,0,ROUND(G215*('Mortgage Setup'!B9/12),2)))</f>
        <v>802.15</v>
      </c>
      <c r="F216" s="35">
        <f>IF(A216="",0,IF(G215&lt;=0,0,MIN('Mortgage Setup'!B12,MAX(G215-D216,0))))</f>
        <v>100</v>
      </c>
      <c r="G216" s="35">
        <f>IF(A216="",0,MAX(G215-D216-F216,0))</f>
        <v>141491.22</v>
      </c>
      <c r="H216" s="35">
        <f>IF(A216="",0,H215+E216)</f>
        <v>267698.06000000006</v>
      </c>
    </row>
    <row r="217" ht="26" customHeight="1" spans="1:8" x14ac:dyDescent="0.25">
      <c r="A217" s="30">
        <f>IF(G216&gt;0,213,"")</f>
        <v>213</v>
      </c>
      <c r="B217" s="31">
        <f>IF(A217="","",DATE(YEAR('Mortgage Setup'!B11),MONTH('Mortgage Setup'!B11)+212,DAY('Mortgage Setup'!B11)))</f>
        <v>52475</v>
      </c>
      <c r="C217" s="32">
        <f>IF(A217="",0,IF(G216&lt;=0,0,MIN('Mortgage Setup'!B21,G216*(1+'Mortgage Setup'!B9/12))))</f>
        <v>1816.07</v>
      </c>
      <c r="D217" s="32">
        <f>IF(A217="",0,IF(G216&lt;=0,0,MIN(C217-E217,G216)))</f>
        <v>1020.18</v>
      </c>
      <c r="E217" s="32">
        <f>IF(A217="",0,IF(G216&lt;=0,0,ROUND(G216*('Mortgage Setup'!B9/12),2)))</f>
        <v>795.89</v>
      </c>
      <c r="F217" s="32">
        <f>IF(A217="",0,IF(G216&lt;=0,0,MIN('Mortgage Setup'!B12,MAX(G216-D217,0))))</f>
        <v>100</v>
      </c>
      <c r="G217" s="32">
        <f>IF(A217="",0,MAX(G216-D217-F217,0))</f>
        <v>140371.04</v>
      </c>
      <c r="H217" s="32">
        <f>IF(A217="",0,H216+E217)</f>
        <v>268493.95000000007</v>
      </c>
    </row>
    <row r="218" ht="26" customHeight="1" spans="1:8" x14ac:dyDescent="0.25">
      <c r="A218" s="33">
        <f>IF(G217&gt;0,214,"")</f>
        <v>214</v>
      </c>
      <c r="B218" s="34">
        <f>IF(A218="","",DATE(YEAR('Mortgage Setup'!B11),MONTH('Mortgage Setup'!B11)+213,DAY('Mortgage Setup'!B11)))</f>
        <v>52505</v>
      </c>
      <c r="C218" s="35">
        <f>IF(A218="",0,IF(G217&lt;=0,0,MIN('Mortgage Setup'!B21,G217*(1+'Mortgage Setup'!B9/12))))</f>
        <v>1816.07</v>
      </c>
      <c r="D218" s="35">
        <f>IF(A218="",0,IF(G217&lt;=0,0,MIN(C218-E218,G217)))</f>
        <v>1026.48</v>
      </c>
      <c r="E218" s="35">
        <f>IF(A218="",0,IF(G217&lt;=0,0,ROUND(G217*('Mortgage Setup'!B9/12),2)))</f>
        <v>789.59</v>
      </c>
      <c r="F218" s="35">
        <f>IF(A218="",0,IF(G217&lt;=0,0,MIN('Mortgage Setup'!B12,MAX(G217-D218,0))))</f>
        <v>100</v>
      </c>
      <c r="G218" s="35">
        <f>IF(A218="",0,MAX(G217-D218-F218,0))</f>
        <v>139244.56</v>
      </c>
      <c r="H218" s="35">
        <f>IF(A218="",0,H217+E218)</f>
        <v>269283.5400000001</v>
      </c>
    </row>
    <row r="219" ht="26" customHeight="1" spans="1:8" x14ac:dyDescent="0.25">
      <c r="A219" s="30">
        <f>IF(G218&gt;0,215,"")</f>
        <v>215</v>
      </c>
      <c r="B219" s="31">
        <f>IF(A219="","",DATE(YEAR('Mortgage Setup'!B11),MONTH('Mortgage Setup'!B11)+214,DAY('Mortgage Setup'!B11)))</f>
        <v>52536</v>
      </c>
      <c r="C219" s="32">
        <f>IF(A219="",0,IF(G218&lt;=0,0,MIN('Mortgage Setup'!B21,G218*(1+'Mortgage Setup'!B9/12))))</f>
        <v>1816.07</v>
      </c>
      <c r="D219" s="32">
        <f>IF(A219="",0,IF(G218&lt;=0,0,MIN(C219-E219,G218)))</f>
        <v>1032.82</v>
      </c>
      <c r="E219" s="32">
        <f>IF(A219="",0,IF(G218&lt;=0,0,ROUND(G218*('Mortgage Setup'!B9/12),2)))</f>
        <v>783.25</v>
      </c>
      <c r="F219" s="32">
        <f>IF(A219="",0,IF(G218&lt;=0,0,MIN('Mortgage Setup'!B12,MAX(G218-D219,0))))</f>
        <v>100</v>
      </c>
      <c r="G219" s="32">
        <f>IF(A219="",0,MAX(G218-D219-F219,0))</f>
        <v>138111.74</v>
      </c>
      <c r="H219" s="32">
        <f>IF(A219="",0,H218+E219)</f>
        <v>270066.7900000001</v>
      </c>
    </row>
    <row r="220" ht="26" customHeight="1" spans="1:8" x14ac:dyDescent="0.25">
      <c r="A220" s="33">
        <f>IF(G219&gt;0,216,"")</f>
        <v>216</v>
      </c>
      <c r="B220" s="34">
        <f>IF(A220="","",DATE(YEAR('Mortgage Setup'!B11),MONTH('Mortgage Setup'!B11)+215,DAY('Mortgage Setup'!B11)))</f>
        <v>52566</v>
      </c>
      <c r="C220" s="35">
        <f>IF(A220="",0,IF(G219&lt;=0,0,MIN('Mortgage Setup'!B21,G219*(1+'Mortgage Setup'!B9/12))))</f>
        <v>1816.07</v>
      </c>
      <c r="D220" s="35">
        <f>IF(A220="",0,IF(G219&lt;=0,0,MIN(C220-E220,G219)))</f>
        <v>1039.19</v>
      </c>
      <c r="E220" s="35">
        <f>IF(A220="",0,IF(G219&lt;=0,0,ROUND(G219*('Mortgage Setup'!B9/12),2)))</f>
        <v>776.88</v>
      </c>
      <c r="F220" s="35">
        <f>IF(A220="",0,IF(G219&lt;=0,0,MIN('Mortgage Setup'!B12,MAX(G219-D220,0))))</f>
        <v>100</v>
      </c>
      <c r="G220" s="35">
        <f>IF(A220="",0,MAX(G219-D220-F220,0))</f>
        <v>136972.55</v>
      </c>
      <c r="H220" s="35">
        <f>IF(A220="",0,H219+E220)</f>
        <v>270843.6700000001</v>
      </c>
    </row>
    <row r="221" ht="26" customHeight="1" spans="1:8" x14ac:dyDescent="0.25">
      <c r="A221" s="30">
        <f>IF(G220&gt;0,217,"")</f>
        <v>217</v>
      </c>
      <c r="B221" s="31">
        <f>IF(A221="","",DATE(YEAR('Mortgage Setup'!B11),MONTH('Mortgage Setup'!B11)+216,DAY('Mortgage Setup'!B11)))</f>
        <v>52597</v>
      </c>
      <c r="C221" s="32">
        <f>IF(A221="",0,IF(G220&lt;=0,0,MIN('Mortgage Setup'!B21,G220*(1+'Mortgage Setup'!B9/12))))</f>
        <v>1816.07</v>
      </c>
      <c r="D221" s="32">
        <f>IF(A221="",0,IF(G220&lt;=0,0,MIN(C221-E221,G220)))</f>
        <v>1045.6</v>
      </c>
      <c r="E221" s="32">
        <f>IF(A221="",0,IF(G220&lt;=0,0,ROUND(G220*('Mortgage Setup'!B9/12),2)))</f>
        <v>770.47</v>
      </c>
      <c r="F221" s="32">
        <f>IF(A221="",0,IF(G220&lt;=0,0,MIN('Mortgage Setup'!B12,MAX(G220-D221,0))))</f>
        <v>100</v>
      </c>
      <c r="G221" s="32">
        <f>IF(A221="",0,MAX(G220-D221-F221,0))</f>
        <v>135826.95</v>
      </c>
      <c r="H221" s="32">
        <f>IF(A221="",0,H220+E221)</f>
        <v>271614.1400000001</v>
      </c>
    </row>
    <row r="222" ht="26" customHeight="1" spans="1:8" x14ac:dyDescent="0.25">
      <c r="A222" s="33">
        <f>IF(G221&gt;0,218,"")</f>
        <v>218</v>
      </c>
      <c r="B222" s="34">
        <f>IF(A222="","",DATE(YEAR('Mortgage Setup'!B11),MONTH('Mortgage Setup'!B11)+217,DAY('Mortgage Setup'!B11)))</f>
        <v>52628</v>
      </c>
      <c r="C222" s="35">
        <f>IF(A222="",0,IF(G221&lt;=0,0,MIN('Mortgage Setup'!B21,G221*(1+'Mortgage Setup'!B9/12))))</f>
        <v>1816.07</v>
      </c>
      <c r="D222" s="35">
        <f>IF(A222="",0,IF(G221&lt;=0,0,MIN(C222-E222,G221)))</f>
        <v>1052.04</v>
      </c>
      <c r="E222" s="35">
        <f>IF(A222="",0,IF(G221&lt;=0,0,ROUND(G221*('Mortgage Setup'!B9/12),2)))</f>
        <v>764.03</v>
      </c>
      <c r="F222" s="35">
        <f>IF(A222="",0,IF(G221&lt;=0,0,MIN('Mortgage Setup'!B12,MAX(G221-D222,0))))</f>
        <v>100</v>
      </c>
      <c r="G222" s="35">
        <f>IF(A222="",0,MAX(G221-D222-F222,0))</f>
        <v>134674.91</v>
      </c>
      <c r="H222" s="35">
        <f>IF(A222="",0,H221+E222)</f>
        <v>272378.1700000001</v>
      </c>
    </row>
    <row r="223" ht="26" customHeight="1" spans="1:8" x14ac:dyDescent="0.25">
      <c r="A223" s="30">
        <f>IF(G222&gt;0,219,"")</f>
        <v>219</v>
      </c>
      <c r="B223" s="31">
        <f>IF(A223="","",DATE(YEAR('Mortgage Setup'!B11),MONTH('Mortgage Setup'!B11)+218,DAY('Mortgage Setup'!B11)))</f>
        <v>52657</v>
      </c>
      <c r="C223" s="32">
        <f>IF(A223="",0,IF(G222&lt;=0,0,MIN('Mortgage Setup'!B21,G222*(1+'Mortgage Setup'!B9/12))))</f>
        <v>1816.07</v>
      </c>
      <c r="D223" s="32">
        <f>IF(A223="",0,IF(G222&lt;=0,0,MIN(C223-E223,G222)))</f>
        <v>1058.52</v>
      </c>
      <c r="E223" s="32">
        <f>IF(A223="",0,IF(G222&lt;=0,0,ROUND(G222*('Mortgage Setup'!B9/12),2)))</f>
        <v>757.55</v>
      </c>
      <c r="F223" s="32">
        <f>IF(A223="",0,IF(G222&lt;=0,0,MIN('Mortgage Setup'!B12,MAX(G222-D223,0))))</f>
        <v>100</v>
      </c>
      <c r="G223" s="32">
        <f>IF(A223="",0,MAX(G222-D223-F223,0))</f>
        <v>133516.39</v>
      </c>
      <c r="H223" s="32">
        <f>IF(A223="",0,H222+E223)</f>
        <v>273135.7200000001</v>
      </c>
    </row>
    <row r="224" ht="26" customHeight="1" spans="1:8" x14ac:dyDescent="0.25">
      <c r="A224" s="33">
        <f>IF(G223&gt;0,220,"")</f>
        <v>220</v>
      </c>
      <c r="B224" s="34">
        <f>IF(A224="","",DATE(YEAR('Mortgage Setup'!B11),MONTH('Mortgage Setup'!B11)+219,DAY('Mortgage Setup'!B11)))</f>
        <v>52688</v>
      </c>
      <c r="C224" s="35">
        <f>IF(A224="",0,IF(G223&lt;=0,0,MIN('Mortgage Setup'!B21,G223*(1+'Mortgage Setup'!B9/12))))</f>
        <v>1816.07</v>
      </c>
      <c r="D224" s="35">
        <f>IF(A224="",0,IF(G223&lt;=0,0,MIN(C224-E224,G223)))</f>
        <v>1065.04</v>
      </c>
      <c r="E224" s="35">
        <f>IF(A224="",0,IF(G223&lt;=0,0,ROUND(G223*('Mortgage Setup'!B9/12),2)))</f>
        <v>751.03</v>
      </c>
      <c r="F224" s="35">
        <f>IF(A224="",0,IF(G223&lt;=0,0,MIN('Mortgage Setup'!B12,MAX(G223-D224,0))))</f>
        <v>100</v>
      </c>
      <c r="G224" s="35">
        <f>IF(A224="",0,MAX(G223-D224-F224,0))</f>
        <v>132351.35</v>
      </c>
      <c r="H224" s="35">
        <f>IF(A224="",0,H223+E224)</f>
        <v>273886.7500000001</v>
      </c>
    </row>
    <row r="225" ht="26" customHeight="1" spans="1:8" x14ac:dyDescent="0.25">
      <c r="A225" s="30">
        <f>IF(G224&gt;0,221,"")</f>
        <v>221</v>
      </c>
      <c r="B225" s="31">
        <f>IF(A225="","",DATE(YEAR('Mortgage Setup'!B11),MONTH('Mortgage Setup'!B11)+220,DAY('Mortgage Setup'!B11)))</f>
        <v>52718</v>
      </c>
      <c r="C225" s="32">
        <f>IF(A225="",0,IF(G224&lt;=0,0,MIN('Mortgage Setup'!B21,G224*(1+'Mortgage Setup'!B9/12))))</f>
        <v>1816.07</v>
      </c>
      <c r="D225" s="32">
        <f>IF(A225="",0,IF(G224&lt;=0,0,MIN(C225-E225,G224)))</f>
        <v>1071.59</v>
      </c>
      <c r="E225" s="32">
        <f>IF(A225="",0,IF(G224&lt;=0,0,ROUND(G224*('Mortgage Setup'!B9/12),2)))</f>
        <v>744.48</v>
      </c>
      <c r="F225" s="32">
        <f>IF(A225="",0,IF(G224&lt;=0,0,MIN('Mortgage Setup'!B12,MAX(G224-D225,0))))</f>
        <v>100</v>
      </c>
      <c r="G225" s="32">
        <f>IF(A225="",0,MAX(G224-D225-F225,0))</f>
        <v>131179.76</v>
      </c>
      <c r="H225" s="32">
        <f>IF(A225="",0,H224+E225)</f>
        <v>274631.2300000001</v>
      </c>
    </row>
    <row r="226" ht="26" customHeight="1" spans="1:8" x14ac:dyDescent="0.25">
      <c r="A226" s="33">
        <f>IF(G225&gt;0,222,"")</f>
        <v>222</v>
      </c>
      <c r="B226" s="34">
        <f>IF(A226="","",DATE(YEAR('Mortgage Setup'!B11),MONTH('Mortgage Setup'!B11)+221,DAY('Mortgage Setup'!B11)))</f>
        <v>52749</v>
      </c>
      <c r="C226" s="35">
        <f>IF(A226="",0,IF(G225&lt;=0,0,MIN('Mortgage Setup'!B21,G225*(1+'Mortgage Setup'!B9/12))))</f>
        <v>1816.07</v>
      </c>
      <c r="D226" s="35">
        <f>IF(A226="",0,IF(G225&lt;=0,0,MIN(C226-E226,G225)))</f>
        <v>1078.18</v>
      </c>
      <c r="E226" s="35">
        <f>IF(A226="",0,IF(G225&lt;=0,0,ROUND(G225*('Mortgage Setup'!B9/12),2)))</f>
        <v>737.89</v>
      </c>
      <c r="F226" s="35">
        <f>IF(A226="",0,IF(G225&lt;=0,0,MIN('Mortgage Setup'!B12,MAX(G225-D226,0))))</f>
        <v>100</v>
      </c>
      <c r="G226" s="35">
        <f>IF(A226="",0,MAX(G225-D226-F226,0))</f>
        <v>130001.58</v>
      </c>
      <c r="H226" s="35">
        <f>IF(A226="",0,H225+E226)</f>
        <v>275369.1200000001</v>
      </c>
    </row>
    <row r="227" ht="26" customHeight="1" spans="1:8" x14ac:dyDescent="0.25">
      <c r="A227" s="30">
        <f>IF(G226&gt;0,223,"")</f>
        <v>223</v>
      </c>
      <c r="B227" s="31">
        <f>IF(A227="","",DATE(YEAR('Mortgage Setup'!B11),MONTH('Mortgage Setup'!B11)+222,DAY('Mortgage Setup'!B11)))</f>
        <v>52779</v>
      </c>
      <c r="C227" s="32">
        <f>IF(A227="",0,IF(G226&lt;=0,0,MIN('Mortgage Setup'!B21,G226*(1+'Mortgage Setup'!B9/12))))</f>
        <v>1816.07</v>
      </c>
      <c r="D227" s="32">
        <f>IF(A227="",0,IF(G226&lt;=0,0,MIN(C227-E227,G226)))</f>
        <v>1084.81</v>
      </c>
      <c r="E227" s="32">
        <f>IF(A227="",0,IF(G226&lt;=0,0,ROUND(G226*('Mortgage Setup'!B9/12),2)))</f>
        <v>731.26</v>
      </c>
      <c r="F227" s="32">
        <f>IF(A227="",0,IF(G226&lt;=0,0,MIN('Mortgage Setup'!B12,MAX(G226-D227,0))))</f>
        <v>100</v>
      </c>
      <c r="G227" s="32">
        <f>IF(A227="",0,MAX(G226-D227-F227,0))</f>
        <v>128816.77</v>
      </c>
      <c r="H227" s="32">
        <f>IF(A227="",0,H226+E227)</f>
        <v>276100.3800000001</v>
      </c>
    </row>
    <row r="228" ht="26" customHeight="1" spans="1:8" x14ac:dyDescent="0.25">
      <c r="A228" s="33">
        <f>IF(G227&gt;0,224,"")</f>
        <v>224</v>
      </c>
      <c r="B228" s="34">
        <f>IF(A228="","",DATE(YEAR('Mortgage Setup'!B11),MONTH('Mortgage Setup'!B11)+223,DAY('Mortgage Setup'!B11)))</f>
        <v>52810</v>
      </c>
      <c r="C228" s="35">
        <f>IF(A228="",0,IF(G227&lt;=0,0,MIN('Mortgage Setup'!B21,G227*(1+'Mortgage Setup'!B9/12))))</f>
        <v>1816.07</v>
      </c>
      <c r="D228" s="35">
        <f>IF(A228="",0,IF(G227&lt;=0,0,MIN(C228-E228,G227)))</f>
        <v>1091.48</v>
      </c>
      <c r="E228" s="35">
        <f>IF(A228="",0,IF(G227&lt;=0,0,ROUND(G227*('Mortgage Setup'!B9/12),2)))</f>
        <v>724.59</v>
      </c>
      <c r="F228" s="35">
        <f>IF(A228="",0,IF(G227&lt;=0,0,MIN('Mortgage Setup'!B12,MAX(G227-D228,0))))</f>
        <v>100</v>
      </c>
      <c r="G228" s="35">
        <f>IF(A228="",0,MAX(G227-D228-F228,0))</f>
        <v>127625.29</v>
      </c>
      <c r="H228" s="35">
        <f>IF(A228="",0,H227+E228)</f>
        <v>276824.97000000015</v>
      </c>
    </row>
    <row r="229" ht="26" customHeight="1" spans="1:8" x14ac:dyDescent="0.25">
      <c r="A229" s="30">
        <f>IF(G228&gt;0,225,"")</f>
        <v>225</v>
      </c>
      <c r="B229" s="31">
        <f>IF(A229="","",DATE(YEAR('Mortgage Setup'!B11),MONTH('Mortgage Setup'!B11)+224,DAY('Mortgage Setup'!B11)))</f>
        <v>52841</v>
      </c>
      <c r="C229" s="32">
        <f>IF(A229="",0,IF(G228&lt;=0,0,MIN('Mortgage Setup'!B21,G228*(1+'Mortgage Setup'!B9/12))))</f>
        <v>1816.07</v>
      </c>
      <c r="D229" s="32">
        <f>IF(A229="",0,IF(G228&lt;=0,0,MIN(C229-E229,G228)))</f>
        <v>1098.18</v>
      </c>
      <c r="E229" s="32">
        <f>IF(A229="",0,IF(G228&lt;=0,0,ROUND(G228*('Mortgage Setup'!B9/12),2)))</f>
        <v>717.89</v>
      </c>
      <c r="F229" s="32">
        <f>IF(A229="",0,IF(G228&lt;=0,0,MIN('Mortgage Setup'!B12,MAX(G228-D229,0))))</f>
        <v>100</v>
      </c>
      <c r="G229" s="32">
        <f>IF(A229="",0,MAX(G228-D229-F229,0))</f>
        <v>126427.11</v>
      </c>
      <c r="H229" s="32">
        <f>IF(A229="",0,H228+E229)</f>
        <v>277542.86000000016</v>
      </c>
    </row>
    <row r="230" ht="26" customHeight="1" spans="1:8" x14ac:dyDescent="0.25">
      <c r="A230" s="33">
        <f>IF(G229&gt;0,226,"")</f>
        <v>226</v>
      </c>
      <c r="B230" s="34">
        <f>IF(A230="","",DATE(YEAR('Mortgage Setup'!B11),MONTH('Mortgage Setup'!B11)+225,DAY('Mortgage Setup'!B11)))</f>
        <v>52871</v>
      </c>
      <c r="C230" s="35">
        <f>IF(A230="",0,IF(G229&lt;=0,0,MIN('Mortgage Setup'!B21,G229*(1+'Mortgage Setup'!B9/12))))</f>
        <v>1816.07</v>
      </c>
      <c r="D230" s="35">
        <f>IF(A230="",0,IF(G229&lt;=0,0,MIN(C230-E230,G229)))</f>
        <v>1104.92</v>
      </c>
      <c r="E230" s="35">
        <f>IF(A230="",0,IF(G229&lt;=0,0,ROUND(G229*('Mortgage Setup'!B9/12),2)))</f>
        <v>711.15</v>
      </c>
      <c r="F230" s="35">
        <f>IF(A230="",0,IF(G229&lt;=0,0,MIN('Mortgage Setup'!B12,MAX(G229-D230,0))))</f>
        <v>100</v>
      </c>
      <c r="G230" s="35">
        <f>IF(A230="",0,MAX(G229-D230-F230,0))</f>
        <v>125222.19</v>
      </c>
      <c r="H230" s="35">
        <f>IF(A230="",0,H229+E230)</f>
        <v>278254.0100000002</v>
      </c>
    </row>
    <row r="231" ht="26" customHeight="1" spans="1:8" x14ac:dyDescent="0.25">
      <c r="A231" s="30">
        <f>IF(G230&gt;0,227,"")</f>
        <v>227</v>
      </c>
      <c r="B231" s="31">
        <f>IF(A231="","",DATE(YEAR('Mortgage Setup'!B11),MONTH('Mortgage Setup'!B11)+226,DAY('Mortgage Setup'!B11)))</f>
        <v>52902</v>
      </c>
      <c r="C231" s="32">
        <f>IF(A231="",0,IF(G230&lt;=0,0,MIN('Mortgage Setup'!B21,G230*(1+'Mortgage Setup'!B9/12))))</f>
        <v>1816.07</v>
      </c>
      <c r="D231" s="32">
        <f>IF(A231="",0,IF(G230&lt;=0,0,MIN(C231-E231,G230)))</f>
        <v>1111.7</v>
      </c>
      <c r="E231" s="32">
        <f>IF(A231="",0,IF(G230&lt;=0,0,ROUND(G230*('Mortgage Setup'!B9/12),2)))</f>
        <v>704.37</v>
      </c>
      <c r="F231" s="32">
        <f>IF(A231="",0,IF(G230&lt;=0,0,MIN('Mortgage Setup'!B12,MAX(G230-D231,0))))</f>
        <v>100</v>
      </c>
      <c r="G231" s="32">
        <f>IF(A231="",0,MAX(G230-D231-F231,0))</f>
        <v>124010.49</v>
      </c>
      <c r="H231" s="32">
        <f>IF(A231="",0,H230+E231)</f>
        <v>278958.3800000002</v>
      </c>
    </row>
    <row r="232" ht="26" customHeight="1" spans="1:8" x14ac:dyDescent="0.25">
      <c r="A232" s="33">
        <f>IF(G231&gt;0,228,"")</f>
        <v>228</v>
      </c>
      <c r="B232" s="34">
        <f>IF(A232="","",DATE(YEAR('Mortgage Setup'!B11),MONTH('Mortgage Setup'!B11)+227,DAY('Mortgage Setup'!B11)))</f>
        <v>52932</v>
      </c>
      <c r="C232" s="35">
        <f>IF(A232="",0,IF(G231&lt;=0,0,MIN('Mortgage Setup'!B21,G231*(1+'Mortgage Setup'!B9/12))))</f>
        <v>1816.07</v>
      </c>
      <c r="D232" s="35">
        <f>IF(A232="",0,IF(G231&lt;=0,0,MIN(C232-E232,G231)))</f>
        <v>1118.51</v>
      </c>
      <c r="E232" s="35">
        <f>IF(A232="",0,IF(G231&lt;=0,0,ROUND(G231*('Mortgage Setup'!B9/12),2)))</f>
        <v>697.56</v>
      </c>
      <c r="F232" s="35">
        <f>IF(A232="",0,IF(G231&lt;=0,0,MIN('Mortgage Setup'!B12,MAX(G231-D232,0))))</f>
        <v>100</v>
      </c>
      <c r="G232" s="35">
        <f>IF(A232="",0,MAX(G231-D232-F232,0))</f>
        <v>122791.98</v>
      </c>
      <c r="H232" s="35">
        <f>IF(A232="",0,H231+E232)</f>
        <v>279655.9400000002</v>
      </c>
    </row>
    <row r="233" ht="26" customHeight="1" spans="1:8" x14ac:dyDescent="0.25">
      <c r="A233" s="30">
        <f>IF(G232&gt;0,229,"")</f>
        <v>229</v>
      </c>
      <c r="B233" s="31">
        <f>IF(A233="","",DATE(YEAR('Mortgage Setup'!B11),MONTH('Mortgage Setup'!B11)+228,DAY('Mortgage Setup'!B11)))</f>
        <v>52963</v>
      </c>
      <c r="C233" s="32">
        <f>IF(A233="",0,IF(G232&lt;=0,0,MIN('Mortgage Setup'!B21,G232*(1+'Mortgage Setup'!B9/12))))</f>
        <v>1816.07</v>
      </c>
      <c r="D233" s="32">
        <f>IF(A233="",0,IF(G232&lt;=0,0,MIN(C233-E233,G232)))</f>
        <v>1125.37</v>
      </c>
      <c r="E233" s="32">
        <f>IF(A233="",0,IF(G232&lt;=0,0,ROUND(G232*('Mortgage Setup'!B9/12),2)))</f>
        <v>690.7</v>
      </c>
      <c r="F233" s="32">
        <f>IF(A233="",0,IF(G232&lt;=0,0,MIN('Mortgage Setup'!B12,MAX(G232-D233,0))))</f>
        <v>100</v>
      </c>
      <c r="G233" s="32">
        <f>IF(A233="",0,MAX(G232-D233-F233,0))</f>
        <v>121566.61</v>
      </c>
      <c r="H233" s="32">
        <f>IF(A233="",0,H232+E233)</f>
        <v>280346.6400000002</v>
      </c>
    </row>
    <row r="234" ht="26" customHeight="1" spans="1:8" x14ac:dyDescent="0.25">
      <c r="A234" s="33">
        <f>IF(G233&gt;0,230,"")</f>
        <v>230</v>
      </c>
      <c r="B234" s="34">
        <f>IF(A234="","",DATE(YEAR('Mortgage Setup'!B11),MONTH('Mortgage Setup'!B11)+229,DAY('Mortgage Setup'!B11)))</f>
        <v>52994</v>
      </c>
      <c r="C234" s="35">
        <f>IF(A234="",0,IF(G233&lt;=0,0,MIN('Mortgage Setup'!B21,G233*(1+'Mortgage Setup'!B9/12))))</f>
        <v>1816.07</v>
      </c>
      <c r="D234" s="35">
        <f>IF(A234="",0,IF(G233&lt;=0,0,MIN(C234-E234,G233)))</f>
        <v>1132.26</v>
      </c>
      <c r="E234" s="35">
        <f>IF(A234="",0,IF(G233&lt;=0,0,ROUND(G233*('Mortgage Setup'!B9/12),2)))</f>
        <v>683.81</v>
      </c>
      <c r="F234" s="35">
        <f>IF(A234="",0,IF(G233&lt;=0,0,MIN('Mortgage Setup'!B12,MAX(G233-D234,0))))</f>
        <v>100</v>
      </c>
      <c r="G234" s="35">
        <f>IF(A234="",0,MAX(G233-D234-F234,0))</f>
        <v>120334.35</v>
      </c>
      <c r="H234" s="35">
        <f>IF(A234="",0,H233+E234)</f>
        <v>281030.4500000002</v>
      </c>
    </row>
    <row r="235" ht="26" customHeight="1" spans="1:8" x14ac:dyDescent="0.25">
      <c r="A235" s="30">
        <f>IF(G234&gt;0,231,"")</f>
        <v>231</v>
      </c>
      <c r="B235" s="31">
        <f>IF(A235="","",DATE(YEAR('Mortgage Setup'!B11),MONTH('Mortgage Setup'!B11)+230,DAY('Mortgage Setup'!B11)))</f>
        <v>53022</v>
      </c>
      <c r="C235" s="32">
        <f>IF(A235="",0,IF(G234&lt;=0,0,MIN('Mortgage Setup'!B21,G234*(1+'Mortgage Setup'!B9/12))))</f>
        <v>1816.07</v>
      </c>
      <c r="D235" s="32">
        <f>IF(A235="",0,IF(G234&lt;=0,0,MIN(C235-E235,G234)))</f>
        <v>1139.19</v>
      </c>
      <c r="E235" s="32">
        <f>IF(A235="",0,IF(G234&lt;=0,0,ROUND(G234*('Mortgage Setup'!B9/12),2)))</f>
        <v>676.88</v>
      </c>
      <c r="F235" s="32">
        <f>IF(A235="",0,IF(G234&lt;=0,0,MIN('Mortgage Setup'!B12,MAX(G234-D235,0))))</f>
        <v>100</v>
      </c>
      <c r="G235" s="32">
        <f>IF(A235="",0,MAX(G234-D235-F235,0))</f>
        <v>119095.16</v>
      </c>
      <c r="H235" s="32">
        <f>IF(A235="",0,H234+E235)</f>
        <v>281707.3300000002</v>
      </c>
    </row>
    <row r="236" ht="26" customHeight="1" spans="1:8" x14ac:dyDescent="0.25">
      <c r="A236" s="33">
        <f>IF(G235&gt;0,232,"")</f>
        <v>232</v>
      </c>
      <c r="B236" s="34">
        <f>IF(A236="","",DATE(YEAR('Mortgage Setup'!B11),MONTH('Mortgage Setup'!B11)+231,DAY('Mortgage Setup'!B11)))</f>
        <v>53053</v>
      </c>
      <c r="C236" s="35">
        <f>IF(A236="",0,IF(G235&lt;=0,0,MIN('Mortgage Setup'!B21,G235*(1+'Mortgage Setup'!B9/12))))</f>
        <v>1816.07</v>
      </c>
      <c r="D236" s="35">
        <f>IF(A236="",0,IF(G235&lt;=0,0,MIN(C236-E236,G235)))</f>
        <v>1146.16</v>
      </c>
      <c r="E236" s="35">
        <f>IF(A236="",0,IF(G235&lt;=0,0,ROUND(G235*('Mortgage Setup'!B9/12),2)))</f>
        <v>669.91</v>
      </c>
      <c r="F236" s="35">
        <f>IF(A236="",0,IF(G235&lt;=0,0,MIN('Mortgage Setup'!B12,MAX(G235-D236,0))))</f>
        <v>100</v>
      </c>
      <c r="G236" s="35">
        <f>IF(A236="",0,MAX(G235-D236-F236,0))</f>
        <v>117849</v>
      </c>
      <c r="H236" s="35">
        <f>IF(A236="",0,H235+E236)</f>
        <v>282377.24000000017</v>
      </c>
    </row>
    <row r="237" ht="26" customHeight="1" spans="1:8" x14ac:dyDescent="0.25">
      <c r="A237" s="30">
        <f>IF(G236&gt;0,233,"")</f>
        <v>233</v>
      </c>
      <c r="B237" s="31">
        <f>IF(A237="","",DATE(YEAR('Mortgage Setup'!B11),MONTH('Mortgage Setup'!B11)+232,DAY('Mortgage Setup'!B11)))</f>
        <v>53083</v>
      </c>
      <c r="C237" s="32">
        <f>IF(A237="",0,IF(G236&lt;=0,0,MIN('Mortgage Setup'!B21,G236*(1+'Mortgage Setup'!B9/12))))</f>
        <v>1816.07</v>
      </c>
      <c r="D237" s="32">
        <f>IF(A237="",0,IF(G236&lt;=0,0,MIN(C237-E237,G236)))</f>
        <v>1153.17</v>
      </c>
      <c r="E237" s="32">
        <f>IF(A237="",0,IF(G236&lt;=0,0,ROUND(G236*('Mortgage Setup'!B9/12),2)))</f>
        <v>662.9</v>
      </c>
      <c r="F237" s="32">
        <f>IF(A237="",0,IF(G236&lt;=0,0,MIN('Mortgage Setup'!B12,MAX(G236-D237,0))))</f>
        <v>100</v>
      </c>
      <c r="G237" s="32">
        <f>IF(A237="",0,MAX(G236-D237-F237,0))</f>
        <v>116595.83</v>
      </c>
      <c r="H237" s="32">
        <f>IF(A237="",0,H236+E237)</f>
        <v>283040.1400000002</v>
      </c>
    </row>
    <row r="238" ht="26" customHeight="1" spans="1:8" x14ac:dyDescent="0.25">
      <c r="A238" s="33">
        <f>IF(G237&gt;0,234,"")</f>
        <v>234</v>
      </c>
      <c r="B238" s="34">
        <f>IF(A238="","",DATE(YEAR('Mortgage Setup'!B11),MONTH('Mortgage Setup'!B11)+233,DAY('Mortgage Setup'!B11)))</f>
        <v>53114</v>
      </c>
      <c r="C238" s="35">
        <f>IF(A238="",0,IF(G237&lt;=0,0,MIN('Mortgage Setup'!B21,G237*(1+'Mortgage Setup'!B9/12))))</f>
        <v>1816.07</v>
      </c>
      <c r="D238" s="35">
        <f>IF(A238="",0,IF(G237&lt;=0,0,MIN(C238-E238,G237)))</f>
        <v>1160.22</v>
      </c>
      <c r="E238" s="35">
        <f>IF(A238="",0,IF(G237&lt;=0,0,ROUND(G237*('Mortgage Setup'!B9/12),2)))</f>
        <v>655.85</v>
      </c>
      <c r="F238" s="35">
        <f>IF(A238="",0,IF(G237&lt;=0,0,MIN('Mortgage Setup'!B12,MAX(G237-D238,0))))</f>
        <v>100</v>
      </c>
      <c r="G238" s="35">
        <f>IF(A238="",0,MAX(G237-D238-F238,0))</f>
        <v>115335.61</v>
      </c>
      <c r="H238" s="35">
        <f>IF(A238="",0,H237+E238)</f>
        <v>283695.99000000017</v>
      </c>
    </row>
    <row r="239" ht="26" customHeight="1" spans="1:8" x14ac:dyDescent="0.25">
      <c r="A239" s="30">
        <f>IF(G238&gt;0,235,"")</f>
        <v>235</v>
      </c>
      <c r="B239" s="31">
        <f>IF(A239="","",DATE(YEAR('Mortgage Setup'!B11),MONTH('Mortgage Setup'!B11)+234,DAY('Mortgage Setup'!B11)))</f>
        <v>53144</v>
      </c>
      <c r="C239" s="32">
        <f>IF(A239="",0,IF(G238&lt;=0,0,MIN('Mortgage Setup'!B21,G238*(1+'Mortgage Setup'!B9/12))))</f>
        <v>1816.07</v>
      </c>
      <c r="D239" s="32">
        <f>IF(A239="",0,IF(G238&lt;=0,0,MIN(C239-E239,G238)))</f>
        <v>1167.31</v>
      </c>
      <c r="E239" s="32">
        <f>IF(A239="",0,IF(G238&lt;=0,0,ROUND(G238*('Mortgage Setup'!B9/12),2)))</f>
        <v>648.76</v>
      </c>
      <c r="F239" s="32">
        <f>IF(A239="",0,IF(G238&lt;=0,0,MIN('Mortgage Setup'!B12,MAX(G238-D239,0))))</f>
        <v>100</v>
      </c>
      <c r="G239" s="32">
        <f>IF(A239="",0,MAX(G238-D239-F239,0))</f>
        <v>114068.3</v>
      </c>
      <c r="H239" s="32">
        <f>IF(A239="",0,H238+E239)</f>
        <v>284344.7500000002</v>
      </c>
    </row>
    <row r="240" ht="26" customHeight="1" spans="1:8" x14ac:dyDescent="0.25">
      <c r="A240" s="33">
        <f>IF(G239&gt;0,236,"")</f>
        <v>236</v>
      </c>
      <c r="B240" s="34">
        <f>IF(A240="","",DATE(YEAR('Mortgage Setup'!B11),MONTH('Mortgage Setup'!B11)+235,DAY('Mortgage Setup'!B11)))</f>
        <v>53175</v>
      </c>
      <c r="C240" s="35">
        <f>IF(A240="",0,IF(G239&lt;=0,0,MIN('Mortgage Setup'!B21,G239*(1+'Mortgage Setup'!B9/12))))</f>
        <v>1816.07</v>
      </c>
      <c r="D240" s="35">
        <f>IF(A240="",0,IF(G239&lt;=0,0,MIN(C240-E240,G239)))</f>
        <v>1174.44</v>
      </c>
      <c r="E240" s="35">
        <f>IF(A240="",0,IF(G239&lt;=0,0,ROUND(G239*('Mortgage Setup'!B9/12),2)))</f>
        <v>641.63</v>
      </c>
      <c r="F240" s="35">
        <f>IF(A240="",0,IF(G239&lt;=0,0,MIN('Mortgage Setup'!B12,MAX(G239-D240,0))))</f>
        <v>100</v>
      </c>
      <c r="G240" s="35">
        <f>IF(A240="",0,MAX(G239-D240-F240,0))</f>
        <v>112793.86</v>
      </c>
      <c r="H240" s="35">
        <f>IF(A240="",0,H239+E240)</f>
        <v>284986.3800000002</v>
      </c>
    </row>
    <row r="241" ht="26" customHeight="1" spans="1:8" x14ac:dyDescent="0.25">
      <c r="A241" s="30">
        <f>IF(G240&gt;0,237,"")</f>
        <v>237</v>
      </c>
      <c r="B241" s="31">
        <f>IF(A241="","",DATE(YEAR('Mortgage Setup'!B11),MONTH('Mortgage Setup'!B11)+236,DAY('Mortgage Setup'!B11)))</f>
        <v>53206</v>
      </c>
      <c r="C241" s="32">
        <f>IF(A241="",0,IF(G240&lt;=0,0,MIN('Mortgage Setup'!B21,G240*(1+'Mortgage Setup'!B9/12))))</f>
        <v>1816.07</v>
      </c>
      <c r="D241" s="32">
        <f>IF(A241="",0,IF(G240&lt;=0,0,MIN(C241-E241,G240)))</f>
        <v>1181.6</v>
      </c>
      <c r="E241" s="32">
        <f>IF(A241="",0,IF(G240&lt;=0,0,ROUND(G240*('Mortgage Setup'!B9/12),2)))</f>
        <v>634.47</v>
      </c>
      <c r="F241" s="32">
        <f>IF(A241="",0,IF(G240&lt;=0,0,MIN('Mortgage Setup'!B12,MAX(G240-D241,0))))</f>
        <v>100</v>
      </c>
      <c r="G241" s="32">
        <f>IF(A241="",0,MAX(G240-D241-F241,0))</f>
        <v>111512.26</v>
      </c>
      <c r="H241" s="32">
        <f>IF(A241="",0,H240+E241)</f>
        <v>285620.85000000015</v>
      </c>
    </row>
    <row r="242" ht="26" customHeight="1" spans="1:8" x14ac:dyDescent="0.25">
      <c r="A242" s="33">
        <f>IF(G241&gt;0,238,"")</f>
        <v>238</v>
      </c>
      <c r="B242" s="34">
        <f>IF(A242="","",DATE(YEAR('Mortgage Setup'!B11),MONTH('Mortgage Setup'!B11)+237,DAY('Mortgage Setup'!B11)))</f>
        <v>53236</v>
      </c>
      <c r="C242" s="35">
        <f>IF(A242="",0,IF(G241&lt;=0,0,MIN('Mortgage Setup'!B21,G241*(1+'Mortgage Setup'!B9/12))))</f>
        <v>1816.07</v>
      </c>
      <c r="D242" s="35">
        <f>IF(A242="",0,IF(G241&lt;=0,0,MIN(C242-E242,G241)))</f>
        <v>1188.81</v>
      </c>
      <c r="E242" s="35">
        <f>IF(A242="",0,IF(G241&lt;=0,0,ROUND(G241*('Mortgage Setup'!B9/12),2)))</f>
        <v>627.26</v>
      </c>
      <c r="F242" s="35">
        <f>IF(A242="",0,IF(G241&lt;=0,0,MIN('Mortgage Setup'!B12,MAX(G241-D242,0))))</f>
        <v>100</v>
      </c>
      <c r="G242" s="35">
        <f>IF(A242="",0,MAX(G241-D242-F242,0))</f>
        <v>110223.45</v>
      </c>
      <c r="H242" s="35">
        <f>IF(A242="",0,H241+E242)</f>
        <v>286248.11000000016</v>
      </c>
    </row>
    <row r="243" ht="26" customHeight="1" spans="1:8" x14ac:dyDescent="0.25">
      <c r="A243" s="30">
        <f>IF(G242&gt;0,239,"")</f>
        <v>239</v>
      </c>
      <c r="B243" s="31">
        <f>IF(A243="","",DATE(YEAR('Mortgage Setup'!B11),MONTH('Mortgage Setup'!B11)+238,DAY('Mortgage Setup'!B11)))</f>
        <v>53267</v>
      </c>
      <c r="C243" s="32">
        <f>IF(A243="",0,IF(G242&lt;=0,0,MIN('Mortgage Setup'!B21,G242*(1+'Mortgage Setup'!B9/12))))</f>
        <v>1816.07</v>
      </c>
      <c r="D243" s="32">
        <f>IF(A243="",0,IF(G242&lt;=0,0,MIN(C243-E243,G242)))</f>
        <v>1196.06</v>
      </c>
      <c r="E243" s="32">
        <f>IF(A243="",0,IF(G242&lt;=0,0,ROUND(G242*('Mortgage Setup'!B9/12),2)))</f>
        <v>620.01</v>
      </c>
      <c r="F243" s="32">
        <f>IF(A243="",0,IF(G242&lt;=0,0,MIN('Mortgage Setup'!B12,MAX(G242-D243,0))))</f>
        <v>100</v>
      </c>
      <c r="G243" s="32">
        <f>IF(A243="",0,MAX(G242-D243-F243,0))</f>
        <v>108927.39</v>
      </c>
      <c r="H243" s="32">
        <f>IF(A243="",0,H242+E243)</f>
        <v>286868.12000000017</v>
      </c>
    </row>
    <row r="244" ht="26" customHeight="1" spans="1:8" x14ac:dyDescent="0.25">
      <c r="A244" s="33">
        <f>IF(G243&gt;0,240,"")</f>
        <v>240</v>
      </c>
      <c r="B244" s="34">
        <f>IF(A244="","",DATE(YEAR('Mortgage Setup'!B11),MONTH('Mortgage Setup'!B11)+239,DAY('Mortgage Setup'!B11)))</f>
        <v>53297</v>
      </c>
      <c r="C244" s="35">
        <f>IF(A244="",0,IF(G243&lt;=0,0,MIN('Mortgage Setup'!B21,G243*(1+'Mortgage Setup'!B9/12))))</f>
        <v>1816.07</v>
      </c>
      <c r="D244" s="35">
        <f>IF(A244="",0,IF(G243&lt;=0,0,MIN(C244-E244,G243)))</f>
        <v>1203.35</v>
      </c>
      <c r="E244" s="35">
        <f>IF(A244="",0,IF(G243&lt;=0,0,ROUND(G243*('Mortgage Setup'!B9/12),2)))</f>
        <v>612.72</v>
      </c>
      <c r="F244" s="35">
        <f>IF(A244="",0,IF(G243&lt;=0,0,MIN('Mortgage Setup'!B12,MAX(G243-D244,0))))</f>
        <v>100</v>
      </c>
      <c r="G244" s="35">
        <f>IF(A244="",0,MAX(G243-D244-F244,0))</f>
        <v>107624.04</v>
      </c>
      <c r="H244" s="35">
        <f>IF(A244="",0,H243+E244)</f>
        <v>287480.84000000014</v>
      </c>
    </row>
    <row r="245" ht="26" customHeight="1" spans="1:8" x14ac:dyDescent="0.25">
      <c r="A245" s="30">
        <f>IF(G244&gt;0,241,"")</f>
        <v>241</v>
      </c>
      <c r="B245" s="31">
        <f>IF(A245="","",DATE(YEAR('Mortgage Setup'!B11),MONTH('Mortgage Setup'!B11)+240,DAY('Mortgage Setup'!B11)))</f>
        <v>53328</v>
      </c>
      <c r="C245" s="32">
        <f>IF(A245="",0,IF(G244&lt;=0,0,MIN('Mortgage Setup'!B21,G244*(1+'Mortgage Setup'!B9/12))))</f>
        <v>1816.07</v>
      </c>
      <c r="D245" s="32">
        <f>IF(A245="",0,IF(G244&lt;=0,0,MIN(C245-E245,G244)))</f>
        <v>1210.68</v>
      </c>
      <c r="E245" s="32">
        <f>IF(A245="",0,IF(G244&lt;=0,0,ROUND(G244*('Mortgage Setup'!B9/12),2)))</f>
        <v>605.39</v>
      </c>
      <c r="F245" s="32">
        <f>IF(A245="",0,IF(G244&lt;=0,0,MIN('Mortgage Setup'!B12,MAX(G244-D245,0))))</f>
        <v>100</v>
      </c>
      <c r="G245" s="32">
        <f>IF(A245="",0,MAX(G244-D245-F245,0))</f>
        <v>106313.36</v>
      </c>
      <c r="H245" s="32">
        <f>IF(A245="",0,H244+E245)</f>
        <v>288086.23000000016</v>
      </c>
    </row>
    <row r="246" ht="26" customHeight="1" spans="1:8" x14ac:dyDescent="0.25">
      <c r="A246" s="33">
        <f>IF(G245&gt;0,242,"")</f>
        <v>242</v>
      </c>
      <c r="B246" s="34">
        <f>IF(A246="","",DATE(YEAR('Mortgage Setup'!B11),MONTH('Mortgage Setup'!B11)+241,DAY('Mortgage Setup'!B11)))</f>
        <v>53359</v>
      </c>
      <c r="C246" s="35">
        <f>IF(A246="",0,IF(G245&lt;=0,0,MIN('Mortgage Setup'!B21,G245*(1+'Mortgage Setup'!B9/12))))</f>
        <v>1816.07</v>
      </c>
      <c r="D246" s="35">
        <f>IF(A246="",0,IF(G245&lt;=0,0,MIN(C246-E246,G245)))</f>
        <v>1218.06</v>
      </c>
      <c r="E246" s="35">
        <f>IF(A246="",0,IF(G245&lt;=0,0,ROUND(G245*('Mortgage Setup'!B9/12),2)))</f>
        <v>598.01</v>
      </c>
      <c r="F246" s="35">
        <f>IF(A246="",0,IF(G245&lt;=0,0,MIN('Mortgage Setup'!B12,MAX(G245-D246,0))))</f>
        <v>100</v>
      </c>
      <c r="G246" s="35">
        <f>IF(A246="",0,MAX(G245-D246-F246,0))</f>
        <v>104995.3</v>
      </c>
      <c r="H246" s="35">
        <f>IF(A246="",0,H245+E246)</f>
        <v>288684.24000000017</v>
      </c>
    </row>
    <row r="247" ht="26" customHeight="1" spans="1:8" x14ac:dyDescent="0.25">
      <c r="A247" s="30">
        <f>IF(G246&gt;0,243,"")</f>
        <v>243</v>
      </c>
      <c r="B247" s="31">
        <f>IF(A247="","",DATE(YEAR('Mortgage Setup'!B11),MONTH('Mortgage Setup'!B11)+242,DAY('Mortgage Setup'!B11)))</f>
        <v>53387</v>
      </c>
      <c r="C247" s="32">
        <f>IF(A247="",0,IF(G246&lt;=0,0,MIN('Mortgage Setup'!B21,G246*(1+'Mortgage Setup'!B9/12))))</f>
        <v>1816.07</v>
      </c>
      <c r="D247" s="32">
        <f>IF(A247="",0,IF(G246&lt;=0,0,MIN(C247-E247,G246)))</f>
        <v>1225.47</v>
      </c>
      <c r="E247" s="32">
        <f>IF(A247="",0,IF(G246&lt;=0,0,ROUND(G246*('Mortgage Setup'!B9/12),2)))</f>
        <v>590.6</v>
      </c>
      <c r="F247" s="32">
        <f>IF(A247="",0,IF(G246&lt;=0,0,MIN('Mortgage Setup'!B12,MAX(G246-D247,0))))</f>
        <v>100</v>
      </c>
      <c r="G247" s="32">
        <f>IF(A247="",0,MAX(G246-D247-F247,0))</f>
        <v>103669.83</v>
      </c>
      <c r="H247" s="32">
        <f>IF(A247="",0,H246+E247)</f>
        <v>289274.84000000014</v>
      </c>
    </row>
    <row r="248" ht="26" customHeight="1" spans="1:8" x14ac:dyDescent="0.25">
      <c r="A248" s="33">
        <f>IF(G247&gt;0,244,"")</f>
        <v>244</v>
      </c>
      <c r="B248" s="34">
        <f>IF(A248="","",DATE(YEAR('Mortgage Setup'!B11),MONTH('Mortgage Setup'!B11)+243,DAY('Mortgage Setup'!B11)))</f>
        <v>53418</v>
      </c>
      <c r="C248" s="35">
        <f>IF(A248="",0,IF(G247&lt;=0,0,MIN('Mortgage Setup'!B21,G247*(1+'Mortgage Setup'!B9/12))))</f>
        <v>1816.07</v>
      </c>
      <c r="D248" s="35">
        <f>IF(A248="",0,IF(G247&lt;=0,0,MIN(C248-E248,G247)))</f>
        <v>1232.93</v>
      </c>
      <c r="E248" s="35">
        <f>IF(A248="",0,IF(G247&lt;=0,0,ROUND(G247*('Mortgage Setup'!B9/12),2)))</f>
        <v>583.14</v>
      </c>
      <c r="F248" s="35">
        <f>IF(A248="",0,IF(G247&lt;=0,0,MIN('Mortgage Setup'!B12,MAX(G247-D248,0))))</f>
        <v>100</v>
      </c>
      <c r="G248" s="35">
        <f>IF(A248="",0,MAX(G247-D248-F248,0))</f>
        <v>102336.9</v>
      </c>
      <c r="H248" s="35">
        <f>IF(A248="",0,H247+E248)</f>
        <v>289857.98000000016</v>
      </c>
    </row>
    <row r="249" ht="26" customHeight="1" spans="1:8" x14ac:dyDescent="0.25">
      <c r="A249" s="30">
        <f>IF(G248&gt;0,245,"")</f>
        <v>245</v>
      </c>
      <c r="B249" s="31">
        <f>IF(A249="","",DATE(YEAR('Mortgage Setup'!B11),MONTH('Mortgage Setup'!B11)+244,DAY('Mortgage Setup'!B11)))</f>
        <v>53448</v>
      </c>
      <c r="C249" s="32">
        <f>IF(A249="",0,IF(G248&lt;=0,0,MIN('Mortgage Setup'!B21,G248*(1+'Mortgage Setup'!B9/12))))</f>
        <v>1816.07</v>
      </c>
      <c r="D249" s="32">
        <f>IF(A249="",0,IF(G248&lt;=0,0,MIN(C249-E249,G248)))</f>
        <v>1240.42</v>
      </c>
      <c r="E249" s="32">
        <f>IF(A249="",0,IF(G248&lt;=0,0,ROUND(G248*('Mortgage Setup'!B9/12),2)))</f>
        <v>575.65</v>
      </c>
      <c r="F249" s="32">
        <f>IF(A249="",0,IF(G248&lt;=0,0,MIN('Mortgage Setup'!B12,MAX(G248-D249,0))))</f>
        <v>100</v>
      </c>
      <c r="G249" s="32">
        <f>IF(A249="",0,MAX(G248-D249-F249,0))</f>
        <v>100996.48</v>
      </c>
      <c r="H249" s="32">
        <f>IF(A249="",0,H248+E249)</f>
        <v>290433.6300000002</v>
      </c>
    </row>
    <row r="250" ht="26" customHeight="1" spans="1:8" x14ac:dyDescent="0.25">
      <c r="A250" s="33">
        <f>IF(G249&gt;0,246,"")</f>
        <v>246</v>
      </c>
      <c r="B250" s="34">
        <f>IF(A250="","",DATE(YEAR('Mortgage Setup'!B11),MONTH('Mortgage Setup'!B11)+245,DAY('Mortgage Setup'!B11)))</f>
        <v>53479</v>
      </c>
      <c r="C250" s="35">
        <f>IF(A250="",0,IF(G249&lt;=0,0,MIN('Mortgage Setup'!B21,G249*(1+'Mortgage Setup'!B9/12))))</f>
        <v>1816.07</v>
      </c>
      <c r="D250" s="35">
        <f>IF(A250="",0,IF(G249&lt;=0,0,MIN(C250-E250,G249)))</f>
        <v>1247.96</v>
      </c>
      <c r="E250" s="35">
        <f>IF(A250="",0,IF(G249&lt;=0,0,ROUND(G249*('Mortgage Setup'!B9/12),2)))</f>
        <v>568.11</v>
      </c>
      <c r="F250" s="35">
        <f>IF(A250="",0,IF(G249&lt;=0,0,MIN('Mortgage Setup'!B12,MAX(G249-D250,0))))</f>
        <v>100</v>
      </c>
      <c r="G250" s="35">
        <f>IF(A250="",0,MAX(G249-D250-F250,0))</f>
        <v>99648.52</v>
      </c>
      <c r="H250" s="35">
        <f>IF(A250="",0,H249+E250)</f>
        <v>291001.74000000017</v>
      </c>
    </row>
    <row r="251" ht="26" customHeight="1" spans="1:8" x14ac:dyDescent="0.25">
      <c r="A251" s="30">
        <f>IF(G250&gt;0,247,"")</f>
        <v>247</v>
      </c>
      <c r="B251" s="31">
        <f>IF(A251="","",DATE(YEAR('Mortgage Setup'!B11),MONTH('Mortgage Setup'!B11)+246,DAY('Mortgage Setup'!B11)))</f>
        <v>53509</v>
      </c>
      <c r="C251" s="32">
        <f>IF(A251="",0,IF(G250&lt;=0,0,MIN('Mortgage Setup'!B21,G250*(1+'Mortgage Setup'!B9/12))))</f>
        <v>1816.07</v>
      </c>
      <c r="D251" s="32">
        <f>IF(A251="",0,IF(G250&lt;=0,0,MIN(C251-E251,G250)))</f>
        <v>1255.55</v>
      </c>
      <c r="E251" s="32">
        <f>IF(A251="",0,IF(G250&lt;=0,0,ROUND(G250*('Mortgage Setup'!B9/12),2)))</f>
        <v>560.52</v>
      </c>
      <c r="F251" s="32">
        <f>IF(A251="",0,IF(G250&lt;=0,0,MIN('Mortgage Setup'!B12,MAX(G250-D251,0))))</f>
        <v>100</v>
      </c>
      <c r="G251" s="32">
        <f>IF(A251="",0,MAX(G250-D251-F251,0))</f>
        <v>98292.97</v>
      </c>
      <c r="H251" s="32">
        <f>IF(A251="",0,H250+E251)</f>
        <v>291562.2600000002</v>
      </c>
    </row>
    <row r="252" ht="26" customHeight="1" spans="1:8" x14ac:dyDescent="0.25">
      <c r="A252" s="33">
        <f>IF(G251&gt;0,248,"")</f>
        <v>248</v>
      </c>
      <c r="B252" s="34">
        <f>IF(A252="","",DATE(YEAR('Mortgage Setup'!B11),MONTH('Mortgage Setup'!B11)+247,DAY('Mortgage Setup'!B11)))</f>
        <v>53540</v>
      </c>
      <c r="C252" s="35">
        <f>IF(A252="",0,IF(G251&lt;=0,0,MIN('Mortgage Setup'!B21,G251*(1+'Mortgage Setup'!B9/12))))</f>
        <v>1816.07</v>
      </c>
      <c r="D252" s="35">
        <f>IF(A252="",0,IF(G251&lt;=0,0,MIN(C252-E252,G251)))</f>
        <v>1263.17</v>
      </c>
      <c r="E252" s="35">
        <f>IF(A252="",0,IF(G251&lt;=0,0,ROUND(G251*('Mortgage Setup'!B9/12),2)))</f>
        <v>552.9</v>
      </c>
      <c r="F252" s="35">
        <f>IF(A252="",0,IF(G251&lt;=0,0,MIN('Mortgage Setup'!B12,MAX(G251-D252,0))))</f>
        <v>100</v>
      </c>
      <c r="G252" s="35">
        <f>IF(A252="",0,MAX(G251-D252-F252,0))</f>
        <v>96929.8</v>
      </c>
      <c r="H252" s="35">
        <f>IF(A252="",0,H251+E252)</f>
        <v>292115.1600000002</v>
      </c>
    </row>
    <row r="253" ht="26" customHeight="1" spans="1:8" x14ac:dyDescent="0.25">
      <c r="A253" s="30">
        <f>IF(G252&gt;0,249,"")</f>
        <v>249</v>
      </c>
      <c r="B253" s="31">
        <f>IF(A253="","",DATE(YEAR('Mortgage Setup'!B11),MONTH('Mortgage Setup'!B11)+248,DAY('Mortgage Setup'!B11)))</f>
        <v>53571</v>
      </c>
      <c r="C253" s="32">
        <f>IF(A253="",0,IF(G252&lt;=0,0,MIN('Mortgage Setup'!B21,G252*(1+'Mortgage Setup'!B9/12))))</f>
        <v>1816.07</v>
      </c>
      <c r="D253" s="32">
        <f>IF(A253="",0,IF(G252&lt;=0,0,MIN(C253-E253,G252)))</f>
        <v>1270.84</v>
      </c>
      <c r="E253" s="32">
        <f>IF(A253="",0,IF(G252&lt;=0,0,ROUND(G252*('Mortgage Setup'!B9/12),2)))</f>
        <v>545.23</v>
      </c>
      <c r="F253" s="32">
        <f>IF(A253="",0,IF(G252&lt;=0,0,MIN('Mortgage Setup'!B12,MAX(G252-D253,0))))</f>
        <v>100</v>
      </c>
      <c r="G253" s="32">
        <f>IF(A253="",0,MAX(G252-D253-F253,0))</f>
        <v>95558.96</v>
      </c>
      <c r="H253" s="32">
        <f>IF(A253="",0,H252+E253)</f>
        <v>292660.3900000002</v>
      </c>
    </row>
    <row r="254" ht="26" customHeight="1" spans="1:8" x14ac:dyDescent="0.25">
      <c r="A254" s="33">
        <f>IF(G253&gt;0,250,"")</f>
        <v>250</v>
      </c>
      <c r="B254" s="34">
        <f>IF(A254="","",DATE(YEAR('Mortgage Setup'!B11),MONTH('Mortgage Setup'!B11)+249,DAY('Mortgage Setup'!B11)))</f>
        <v>53601</v>
      </c>
      <c r="C254" s="35">
        <f>IF(A254="",0,IF(G253&lt;=0,0,MIN('Mortgage Setup'!B21,G253*(1+'Mortgage Setup'!B9/12))))</f>
        <v>1816.07</v>
      </c>
      <c r="D254" s="35">
        <f>IF(A254="",0,IF(G253&lt;=0,0,MIN(C254-E254,G253)))</f>
        <v>1278.55</v>
      </c>
      <c r="E254" s="35">
        <f>IF(A254="",0,IF(G253&lt;=0,0,ROUND(G253*('Mortgage Setup'!B9/12),2)))</f>
        <v>537.52</v>
      </c>
      <c r="F254" s="35">
        <f>IF(A254="",0,IF(G253&lt;=0,0,MIN('Mortgage Setup'!B12,MAX(G253-D254,0))))</f>
        <v>100</v>
      </c>
      <c r="G254" s="35">
        <f>IF(A254="",0,MAX(G253-D254-F254,0))</f>
        <v>94180.41</v>
      </c>
      <c r="H254" s="35">
        <f>IF(A254="",0,H253+E254)</f>
        <v>293197.9100000002</v>
      </c>
    </row>
    <row r="255" ht="26" customHeight="1" spans="1:8" x14ac:dyDescent="0.25">
      <c r="A255" s="30">
        <f>IF(G254&gt;0,251,"")</f>
        <v>251</v>
      </c>
      <c r="B255" s="31">
        <f>IF(A255="","",DATE(YEAR('Mortgage Setup'!B11),MONTH('Mortgage Setup'!B11)+250,DAY('Mortgage Setup'!B11)))</f>
        <v>53632</v>
      </c>
      <c r="C255" s="32">
        <f>IF(A255="",0,IF(G254&lt;=0,0,MIN('Mortgage Setup'!B21,G254*(1+'Mortgage Setup'!B9/12))))</f>
        <v>1816.07</v>
      </c>
      <c r="D255" s="32">
        <f>IF(A255="",0,IF(G254&lt;=0,0,MIN(C255-E255,G254)))</f>
        <v>1286.31</v>
      </c>
      <c r="E255" s="32">
        <f>IF(A255="",0,IF(G254&lt;=0,0,ROUND(G254*('Mortgage Setup'!B9/12),2)))</f>
        <v>529.76</v>
      </c>
      <c r="F255" s="32">
        <f>IF(A255="",0,IF(G254&lt;=0,0,MIN('Mortgage Setup'!B12,MAX(G254-D255,0))))</f>
        <v>100</v>
      </c>
      <c r="G255" s="32">
        <f>IF(A255="",0,MAX(G254-D255-F255,0))</f>
        <v>92794.1</v>
      </c>
      <c r="H255" s="32">
        <f>IF(A255="",0,H254+E255)</f>
        <v>293727.6700000002</v>
      </c>
    </row>
    <row r="256" ht="26" customHeight="1" spans="1:8" x14ac:dyDescent="0.25">
      <c r="A256" s="33">
        <f>IF(G255&gt;0,252,"")</f>
        <v>252</v>
      </c>
      <c r="B256" s="34">
        <f>IF(A256="","",DATE(YEAR('Mortgage Setup'!B11),MONTH('Mortgage Setup'!B11)+251,DAY('Mortgage Setup'!B11)))</f>
        <v>53662</v>
      </c>
      <c r="C256" s="35">
        <f>IF(A256="",0,IF(G255&lt;=0,0,MIN('Mortgage Setup'!B21,G255*(1+'Mortgage Setup'!B9/12))))</f>
        <v>1816.07</v>
      </c>
      <c r="D256" s="35">
        <f>IF(A256="",0,IF(G255&lt;=0,0,MIN(C256-E256,G255)))</f>
        <v>1294.1</v>
      </c>
      <c r="E256" s="35">
        <f>IF(A256="",0,IF(G255&lt;=0,0,ROUND(G255*('Mortgage Setup'!B9/12),2)))</f>
        <v>521.97</v>
      </c>
      <c r="F256" s="35">
        <f>IF(A256="",0,IF(G255&lt;=0,0,MIN('Mortgage Setup'!B12,MAX(G255-D256,0))))</f>
        <v>100</v>
      </c>
      <c r="G256" s="35">
        <f>IF(A256="",0,MAX(G255-D256-F256,0))</f>
        <v>91400</v>
      </c>
      <c r="H256" s="35">
        <f>IF(A256="",0,H255+E256)</f>
        <v>294249.6400000002</v>
      </c>
    </row>
    <row r="257" ht="26" customHeight="1" spans="1:8" x14ac:dyDescent="0.25">
      <c r="A257" s="30">
        <f>IF(G256&gt;0,253,"")</f>
        <v>253</v>
      </c>
      <c r="B257" s="31">
        <f>IF(A257="","",DATE(YEAR('Mortgage Setup'!B11),MONTH('Mortgage Setup'!B11)+252,DAY('Mortgage Setup'!B11)))</f>
        <v>53693</v>
      </c>
      <c r="C257" s="32">
        <f>IF(A257="",0,IF(G256&lt;=0,0,MIN('Mortgage Setup'!B21,G256*(1+'Mortgage Setup'!B9/12))))</f>
        <v>1816.07</v>
      </c>
      <c r="D257" s="32">
        <f>IF(A257="",0,IF(G256&lt;=0,0,MIN(C257-E257,G256)))</f>
        <v>1301.94</v>
      </c>
      <c r="E257" s="32">
        <f>IF(A257="",0,IF(G256&lt;=0,0,ROUND(G256*('Mortgage Setup'!B9/12),2)))</f>
        <v>514.13</v>
      </c>
      <c r="F257" s="32">
        <f>IF(A257="",0,IF(G256&lt;=0,0,MIN('Mortgage Setup'!B12,MAX(G256-D257,0))))</f>
        <v>100</v>
      </c>
      <c r="G257" s="32">
        <f>IF(A257="",0,MAX(G256-D257-F257,0))</f>
        <v>89998.06</v>
      </c>
      <c r="H257" s="32">
        <f>IF(A257="",0,H256+E257)</f>
        <v>294763.7700000002</v>
      </c>
    </row>
    <row r="258" ht="26" customHeight="1" spans="1:8" x14ac:dyDescent="0.25">
      <c r="A258" s="33">
        <f>IF(G257&gt;0,254,"")</f>
        <v>254</v>
      </c>
      <c r="B258" s="34">
        <f>IF(A258="","",DATE(YEAR('Mortgage Setup'!B11),MONTH('Mortgage Setup'!B11)+253,DAY('Mortgage Setup'!B11)))</f>
        <v>53724</v>
      </c>
      <c r="C258" s="35">
        <f>IF(A258="",0,IF(G257&lt;=0,0,MIN('Mortgage Setup'!B21,G257*(1+'Mortgage Setup'!B9/12))))</f>
        <v>1816.07</v>
      </c>
      <c r="D258" s="35">
        <f>IF(A258="",0,IF(G257&lt;=0,0,MIN(C258-E258,G257)))</f>
        <v>1309.83</v>
      </c>
      <c r="E258" s="35">
        <f>IF(A258="",0,IF(G257&lt;=0,0,ROUND(G257*('Mortgage Setup'!B9/12),2)))</f>
        <v>506.24</v>
      </c>
      <c r="F258" s="35">
        <f>IF(A258="",0,IF(G257&lt;=0,0,MIN('Mortgage Setup'!B12,MAX(G257-D258,0))))</f>
        <v>100</v>
      </c>
      <c r="G258" s="35">
        <f>IF(A258="",0,MAX(G257-D258-F258,0))</f>
        <v>88588.23</v>
      </c>
      <c r="H258" s="35">
        <f>IF(A258="",0,H257+E258)</f>
        <v>295270.0100000002</v>
      </c>
    </row>
    <row r="259" ht="26" customHeight="1" spans="1:8" x14ac:dyDescent="0.25">
      <c r="A259" s="30">
        <f>IF(G258&gt;0,255,"")</f>
        <v>255</v>
      </c>
      <c r="B259" s="31">
        <f>IF(A259="","",DATE(YEAR('Mortgage Setup'!B11),MONTH('Mortgage Setup'!B11)+254,DAY('Mortgage Setup'!B11)))</f>
        <v>53752</v>
      </c>
      <c r="C259" s="32">
        <f>IF(A259="",0,IF(G258&lt;=0,0,MIN('Mortgage Setup'!B21,G258*(1+'Mortgage Setup'!B9/12))))</f>
        <v>1816.07</v>
      </c>
      <c r="D259" s="32">
        <f>IF(A259="",0,IF(G258&lt;=0,0,MIN(C259-E259,G258)))</f>
        <v>1317.76</v>
      </c>
      <c r="E259" s="32">
        <f>IF(A259="",0,IF(G258&lt;=0,0,ROUND(G258*('Mortgage Setup'!B9/12),2)))</f>
        <v>498.31</v>
      </c>
      <c r="F259" s="32">
        <f>IF(A259="",0,IF(G258&lt;=0,0,MIN('Mortgage Setup'!B12,MAX(G258-D259,0))))</f>
        <v>100</v>
      </c>
      <c r="G259" s="32">
        <f>IF(A259="",0,MAX(G258-D259-F259,0))</f>
        <v>87170.47</v>
      </c>
      <c r="H259" s="32">
        <f>IF(A259="",0,H258+E259)</f>
        <v>295768.3200000002</v>
      </c>
    </row>
    <row r="260" ht="26" customHeight="1" spans="1:8" x14ac:dyDescent="0.25">
      <c r="A260" s="33">
        <f>IF(G259&gt;0,256,"")</f>
        <v>256</v>
      </c>
      <c r="B260" s="34">
        <f>IF(A260="","",DATE(YEAR('Mortgage Setup'!B11),MONTH('Mortgage Setup'!B11)+255,DAY('Mortgage Setup'!B11)))</f>
        <v>53783</v>
      </c>
      <c r="C260" s="35">
        <f>IF(A260="",0,IF(G259&lt;=0,0,MIN('Mortgage Setup'!B21,G259*(1+'Mortgage Setup'!B9/12))))</f>
        <v>1816.07</v>
      </c>
      <c r="D260" s="35">
        <f>IF(A260="",0,IF(G259&lt;=0,0,MIN(C260-E260,G259)))</f>
        <v>1325.74</v>
      </c>
      <c r="E260" s="35">
        <f>IF(A260="",0,IF(G259&lt;=0,0,ROUND(G259*('Mortgage Setup'!B9/12),2)))</f>
        <v>490.33</v>
      </c>
      <c r="F260" s="35">
        <f>IF(A260="",0,IF(G259&lt;=0,0,MIN('Mortgage Setup'!B12,MAX(G259-D260,0))))</f>
        <v>100</v>
      </c>
      <c r="G260" s="35">
        <f>IF(A260="",0,MAX(G259-D260-F260,0))</f>
        <v>85744.73</v>
      </c>
      <c r="H260" s="35">
        <f>IF(A260="",0,H259+E260)</f>
        <v>296258.6500000002</v>
      </c>
    </row>
    <row r="261" ht="26" customHeight="1" spans="1:8" x14ac:dyDescent="0.25">
      <c r="A261" s="30">
        <f>IF(G260&gt;0,257,"")</f>
        <v>257</v>
      </c>
      <c r="B261" s="31">
        <f>IF(A261="","",DATE(YEAR('Mortgage Setup'!B11),MONTH('Mortgage Setup'!B11)+256,DAY('Mortgage Setup'!B11)))</f>
        <v>53813</v>
      </c>
      <c r="C261" s="32">
        <f>IF(A261="",0,IF(G260&lt;=0,0,MIN('Mortgage Setup'!B21,G260*(1+'Mortgage Setup'!B9/12))))</f>
        <v>1816.07</v>
      </c>
      <c r="D261" s="32">
        <f>IF(A261="",0,IF(G260&lt;=0,0,MIN(C261-E261,G260)))</f>
        <v>1333.76</v>
      </c>
      <c r="E261" s="32">
        <f>IF(A261="",0,IF(G260&lt;=0,0,ROUND(G260*('Mortgage Setup'!B9/12),2)))</f>
        <v>482.31</v>
      </c>
      <c r="F261" s="32">
        <f>IF(A261="",0,IF(G260&lt;=0,0,MIN('Mortgage Setup'!B12,MAX(G260-D261,0))))</f>
        <v>100</v>
      </c>
      <c r="G261" s="32">
        <f>IF(A261="",0,MAX(G260-D261-F261,0))</f>
        <v>84310.97</v>
      </c>
      <c r="H261" s="32">
        <f>IF(A261="",0,H260+E261)</f>
        <v>296740.9600000002</v>
      </c>
    </row>
    <row r="262" ht="26" customHeight="1" spans="1:8" x14ac:dyDescent="0.25">
      <c r="A262" s="33">
        <f>IF(G261&gt;0,258,"")</f>
        <v>258</v>
      </c>
      <c r="B262" s="34">
        <f>IF(A262="","",DATE(YEAR('Mortgage Setup'!B11),MONTH('Mortgage Setup'!B11)+257,DAY('Mortgage Setup'!B11)))</f>
        <v>53844</v>
      </c>
      <c r="C262" s="35">
        <f>IF(A262="",0,IF(G261&lt;=0,0,MIN('Mortgage Setup'!B21,G261*(1+'Mortgage Setup'!B9/12))))</f>
        <v>1816.07</v>
      </c>
      <c r="D262" s="35">
        <f>IF(A262="",0,IF(G261&lt;=0,0,MIN(C262-E262,G261)))</f>
        <v>1341.82</v>
      </c>
      <c r="E262" s="35">
        <f>IF(A262="",0,IF(G261&lt;=0,0,ROUND(G261*('Mortgage Setup'!B9/12),2)))</f>
        <v>474.25</v>
      </c>
      <c r="F262" s="35">
        <f>IF(A262="",0,IF(G261&lt;=0,0,MIN('Mortgage Setup'!B12,MAX(G261-D262,0))))</f>
        <v>100</v>
      </c>
      <c r="G262" s="35">
        <f>IF(A262="",0,MAX(G261-D262-F262,0))</f>
        <v>82869.15</v>
      </c>
      <c r="H262" s="35">
        <f>IF(A262="",0,H261+E262)</f>
        <v>297215.2100000002</v>
      </c>
    </row>
    <row r="263" ht="26" customHeight="1" spans="1:8" x14ac:dyDescent="0.25">
      <c r="A263" s="30">
        <f>IF(G262&gt;0,259,"")</f>
        <v>259</v>
      </c>
      <c r="B263" s="31">
        <f>IF(A263="","",DATE(YEAR('Mortgage Setup'!B11),MONTH('Mortgage Setup'!B11)+258,DAY('Mortgage Setup'!B11)))</f>
        <v>53874</v>
      </c>
      <c r="C263" s="32">
        <f>IF(A263="",0,IF(G262&lt;=0,0,MIN('Mortgage Setup'!B21,G262*(1+'Mortgage Setup'!B9/12))))</f>
        <v>1816.07</v>
      </c>
      <c r="D263" s="32">
        <f>IF(A263="",0,IF(G262&lt;=0,0,MIN(C263-E263,G262)))</f>
        <v>1349.93</v>
      </c>
      <c r="E263" s="32">
        <f>IF(A263="",0,IF(G262&lt;=0,0,ROUND(G262*('Mortgage Setup'!B9/12),2)))</f>
        <v>466.14</v>
      </c>
      <c r="F263" s="32">
        <f>IF(A263="",0,IF(G262&lt;=0,0,MIN('Mortgage Setup'!B12,MAX(G262-D263,0))))</f>
        <v>100</v>
      </c>
      <c r="G263" s="32">
        <f>IF(A263="",0,MAX(G262-D263-F263,0))</f>
        <v>81419.22</v>
      </c>
      <c r="H263" s="32">
        <f>IF(A263="",0,H262+E263)</f>
        <v>297681.3500000002</v>
      </c>
    </row>
    <row r="264" ht="26" customHeight="1" spans="1:8" x14ac:dyDescent="0.25">
      <c r="A264" s="33">
        <f>IF(G263&gt;0,260,"")</f>
        <v>260</v>
      </c>
      <c r="B264" s="34">
        <f>IF(A264="","",DATE(YEAR('Mortgage Setup'!B11),MONTH('Mortgage Setup'!B11)+259,DAY('Mortgage Setup'!B11)))</f>
        <v>53905</v>
      </c>
      <c r="C264" s="35">
        <f>IF(A264="",0,IF(G263&lt;=0,0,MIN('Mortgage Setup'!B21,G263*(1+'Mortgage Setup'!B9/12))))</f>
        <v>1816.07</v>
      </c>
      <c r="D264" s="35">
        <f>IF(A264="",0,IF(G263&lt;=0,0,MIN(C264-E264,G263)))</f>
        <v>1358.09</v>
      </c>
      <c r="E264" s="35">
        <f>IF(A264="",0,IF(G263&lt;=0,0,ROUND(G263*('Mortgage Setup'!B9/12),2)))</f>
        <v>457.98</v>
      </c>
      <c r="F264" s="35">
        <f>IF(A264="",0,IF(G263&lt;=0,0,MIN('Mortgage Setup'!B12,MAX(G263-D264,0))))</f>
        <v>100</v>
      </c>
      <c r="G264" s="35">
        <f>IF(A264="",0,MAX(G263-D264-F264,0))</f>
        <v>79961.13</v>
      </c>
      <c r="H264" s="35">
        <f>IF(A264="",0,H263+E264)</f>
        <v>298139.3300000002</v>
      </c>
    </row>
    <row r="265" ht="26" customHeight="1" spans="1:8" x14ac:dyDescent="0.25">
      <c r="A265" s="30">
        <f>IF(G264&gt;0,261,"")</f>
        <v>261</v>
      </c>
      <c r="B265" s="31">
        <f>IF(A265="","",DATE(YEAR('Mortgage Setup'!B11),MONTH('Mortgage Setup'!B11)+260,DAY('Mortgage Setup'!B11)))</f>
        <v>53936</v>
      </c>
      <c r="C265" s="32">
        <f>IF(A265="",0,IF(G264&lt;=0,0,MIN('Mortgage Setup'!B21,G264*(1+'Mortgage Setup'!B9/12))))</f>
        <v>1816.07</v>
      </c>
      <c r="D265" s="32">
        <f>IF(A265="",0,IF(G264&lt;=0,0,MIN(C265-E265,G264)))</f>
        <v>1366.29</v>
      </c>
      <c r="E265" s="32">
        <f>IF(A265="",0,IF(G264&lt;=0,0,ROUND(G264*('Mortgage Setup'!B9/12),2)))</f>
        <v>449.78</v>
      </c>
      <c r="F265" s="32">
        <f>IF(A265="",0,IF(G264&lt;=0,0,MIN('Mortgage Setup'!B12,MAX(G264-D265,0))))</f>
        <v>100</v>
      </c>
      <c r="G265" s="32">
        <f>IF(A265="",0,MAX(G264-D265-F265,0))</f>
        <v>78494.84</v>
      </c>
      <c r="H265" s="32">
        <f>IF(A265="",0,H264+E265)</f>
        <v>298589.1100000002</v>
      </c>
    </row>
    <row r="266" ht="26" customHeight="1" spans="1:8" x14ac:dyDescent="0.25">
      <c r="A266" s="33">
        <f>IF(G265&gt;0,262,"")</f>
        <v>262</v>
      </c>
      <c r="B266" s="34">
        <f>IF(A266="","",DATE(YEAR('Mortgage Setup'!B11),MONTH('Mortgage Setup'!B11)+261,DAY('Mortgage Setup'!B11)))</f>
        <v>53966</v>
      </c>
      <c r="C266" s="35">
        <f>IF(A266="",0,IF(G265&lt;=0,0,MIN('Mortgage Setup'!B21,G265*(1+'Mortgage Setup'!B9/12))))</f>
        <v>1816.07</v>
      </c>
      <c r="D266" s="35">
        <f>IF(A266="",0,IF(G265&lt;=0,0,MIN(C266-E266,G265)))</f>
        <v>1374.54</v>
      </c>
      <c r="E266" s="35">
        <f>IF(A266="",0,IF(G265&lt;=0,0,ROUND(G265*('Mortgage Setup'!B9/12),2)))</f>
        <v>441.53</v>
      </c>
      <c r="F266" s="35">
        <f>IF(A266="",0,IF(G265&lt;=0,0,MIN('Mortgage Setup'!B12,MAX(G265-D266,0))))</f>
        <v>100</v>
      </c>
      <c r="G266" s="35">
        <f>IF(A266="",0,MAX(G265-D266-F266,0))</f>
        <v>77020.3</v>
      </c>
      <c r="H266" s="35">
        <f>IF(A266="",0,H265+E266)</f>
        <v>299030.64000000025</v>
      </c>
    </row>
    <row r="267" ht="26" customHeight="1" spans="1:8" x14ac:dyDescent="0.25">
      <c r="A267" s="30">
        <f>IF(G266&gt;0,263,"")</f>
        <v>263</v>
      </c>
      <c r="B267" s="31">
        <f>IF(A267="","",DATE(YEAR('Mortgage Setup'!B11),MONTH('Mortgage Setup'!B11)+262,DAY('Mortgage Setup'!B11)))</f>
        <v>53997</v>
      </c>
      <c r="C267" s="32">
        <f>IF(A267="",0,IF(G266&lt;=0,0,MIN('Mortgage Setup'!B21,G266*(1+'Mortgage Setup'!B9/12))))</f>
        <v>1816.07</v>
      </c>
      <c r="D267" s="32">
        <f>IF(A267="",0,IF(G266&lt;=0,0,MIN(C267-E267,G266)))</f>
        <v>1382.83</v>
      </c>
      <c r="E267" s="32">
        <f>IF(A267="",0,IF(G266&lt;=0,0,ROUND(G266*('Mortgage Setup'!B9/12),2)))</f>
        <v>433.24</v>
      </c>
      <c r="F267" s="32">
        <f>IF(A267="",0,IF(G266&lt;=0,0,MIN('Mortgage Setup'!B12,MAX(G266-D267,0))))</f>
        <v>100</v>
      </c>
      <c r="G267" s="32">
        <f>IF(A267="",0,MAX(G266-D267-F267,0))</f>
        <v>75537.47</v>
      </c>
      <c r="H267" s="32">
        <f>IF(A267="",0,H266+E267)</f>
        <v>299463.88000000024</v>
      </c>
    </row>
    <row r="268" ht="26" customHeight="1" spans="1:8" x14ac:dyDescent="0.25">
      <c r="A268" s="33">
        <f>IF(G267&gt;0,264,"")</f>
        <v>264</v>
      </c>
      <c r="B268" s="34">
        <f>IF(A268="","",DATE(YEAR('Mortgage Setup'!B11),MONTH('Mortgage Setup'!B11)+263,DAY('Mortgage Setup'!B11)))</f>
        <v>54027</v>
      </c>
      <c r="C268" s="35">
        <f>IF(A268="",0,IF(G267&lt;=0,0,MIN('Mortgage Setup'!B21,G267*(1+'Mortgage Setup'!B9/12))))</f>
        <v>1816.07</v>
      </c>
      <c r="D268" s="35">
        <f>IF(A268="",0,IF(G267&lt;=0,0,MIN(C268-E268,G267)))</f>
        <v>1391.17</v>
      </c>
      <c r="E268" s="35">
        <f>IF(A268="",0,IF(G267&lt;=0,0,ROUND(G267*('Mortgage Setup'!B9/12),2)))</f>
        <v>424.9</v>
      </c>
      <c r="F268" s="35">
        <f>IF(A268="",0,IF(G267&lt;=0,0,MIN('Mortgage Setup'!B12,MAX(G267-D268,0))))</f>
        <v>100</v>
      </c>
      <c r="G268" s="35">
        <f>IF(A268="",0,MAX(G267-D268-F268,0))</f>
        <v>74046.3</v>
      </c>
      <c r="H268" s="35">
        <f>IF(A268="",0,H267+E268)</f>
        <v>299888.78000000026</v>
      </c>
    </row>
    <row r="269" ht="26" customHeight="1" spans="1:8" x14ac:dyDescent="0.25">
      <c r="A269" s="30">
        <f>IF(G268&gt;0,265,"")</f>
        <v>265</v>
      </c>
      <c r="B269" s="31">
        <f>IF(A269="","",DATE(YEAR('Mortgage Setup'!B11),MONTH('Mortgage Setup'!B11)+264,DAY('Mortgage Setup'!B11)))</f>
        <v>54058</v>
      </c>
      <c r="C269" s="32">
        <f>IF(A269="",0,IF(G268&lt;=0,0,MIN('Mortgage Setup'!B21,G268*(1+'Mortgage Setup'!B9/12))))</f>
        <v>1816.07</v>
      </c>
      <c r="D269" s="32">
        <f>IF(A269="",0,IF(G268&lt;=0,0,MIN(C269-E269,G268)))</f>
        <v>1399.56</v>
      </c>
      <c r="E269" s="32">
        <f>IF(A269="",0,IF(G268&lt;=0,0,ROUND(G268*('Mortgage Setup'!B9/12),2)))</f>
        <v>416.51</v>
      </c>
      <c r="F269" s="32">
        <f>IF(A269="",0,IF(G268&lt;=0,0,MIN('Mortgage Setup'!B12,MAX(G268-D269,0))))</f>
        <v>100</v>
      </c>
      <c r="G269" s="32">
        <f>IF(A269="",0,MAX(G268-D269-F269,0))</f>
        <v>72546.74</v>
      </c>
      <c r="H269" s="32">
        <f>IF(A269="",0,H268+E269)</f>
        <v>300305.29000000027</v>
      </c>
    </row>
    <row r="270" ht="26" customHeight="1" spans="1:8" x14ac:dyDescent="0.25">
      <c r="A270" s="33">
        <f>IF(G269&gt;0,266,"")</f>
        <v>266</v>
      </c>
      <c r="B270" s="34">
        <f>IF(A270="","",DATE(YEAR('Mortgage Setup'!B11),MONTH('Mortgage Setup'!B11)+265,DAY('Mortgage Setup'!B11)))</f>
        <v>54089</v>
      </c>
      <c r="C270" s="35">
        <f>IF(A270="",0,IF(G269&lt;=0,0,MIN('Mortgage Setup'!B21,G269*(1+'Mortgage Setup'!B9/12))))</f>
        <v>1816.07</v>
      </c>
      <c r="D270" s="35">
        <f>IF(A270="",0,IF(G269&lt;=0,0,MIN(C270-E270,G269)))</f>
        <v>1407.99</v>
      </c>
      <c r="E270" s="35">
        <f>IF(A270="",0,IF(G269&lt;=0,0,ROUND(G269*('Mortgage Setup'!B9/12),2)))</f>
        <v>408.08</v>
      </c>
      <c r="F270" s="35">
        <f>IF(A270="",0,IF(G269&lt;=0,0,MIN('Mortgage Setup'!B12,MAX(G269-D270,0))))</f>
        <v>100</v>
      </c>
      <c r="G270" s="35">
        <f>IF(A270="",0,MAX(G269-D270-F270,0))</f>
        <v>71038.75</v>
      </c>
      <c r="H270" s="35">
        <f>IF(A270="",0,H269+E270)</f>
        <v>300713.3700000003</v>
      </c>
    </row>
    <row r="271" ht="26" customHeight="1" spans="1:8" x14ac:dyDescent="0.25">
      <c r="A271" s="30">
        <f>IF(G270&gt;0,267,"")</f>
        <v>267</v>
      </c>
      <c r="B271" s="31">
        <f>IF(A271="","",DATE(YEAR('Mortgage Setup'!B11),MONTH('Mortgage Setup'!B11)+266,DAY('Mortgage Setup'!B11)))</f>
        <v>54118</v>
      </c>
      <c r="C271" s="32">
        <f>IF(A271="",0,IF(G270&lt;=0,0,MIN('Mortgage Setup'!B21,G270*(1+'Mortgage Setup'!B9/12))))</f>
        <v>1816.07</v>
      </c>
      <c r="D271" s="32">
        <f>IF(A271="",0,IF(G270&lt;=0,0,MIN(C271-E271,G270)))</f>
        <v>1416.48</v>
      </c>
      <c r="E271" s="32">
        <f>IF(A271="",0,IF(G270&lt;=0,0,ROUND(G270*('Mortgage Setup'!B9/12),2)))</f>
        <v>399.59</v>
      </c>
      <c r="F271" s="32">
        <f>IF(A271="",0,IF(G270&lt;=0,0,MIN('Mortgage Setup'!B12,MAX(G270-D271,0))))</f>
        <v>100</v>
      </c>
      <c r="G271" s="32">
        <f>IF(A271="",0,MAX(G270-D271-F271,0))</f>
        <v>69522.27</v>
      </c>
      <c r="H271" s="32">
        <f>IF(A271="",0,H270+E271)</f>
        <v>301112.9600000003</v>
      </c>
    </row>
    <row r="272" ht="26" customHeight="1" spans="1:8" x14ac:dyDescent="0.25">
      <c r="A272" s="33">
        <f>IF(G271&gt;0,268,"")</f>
        <v>268</v>
      </c>
      <c r="B272" s="34">
        <f>IF(A272="","",DATE(YEAR('Mortgage Setup'!B11),MONTH('Mortgage Setup'!B11)+267,DAY('Mortgage Setup'!B11)))</f>
        <v>54149</v>
      </c>
      <c r="C272" s="35">
        <f>IF(A272="",0,IF(G271&lt;=0,0,MIN('Mortgage Setup'!B21,G271*(1+'Mortgage Setup'!B9/12))))</f>
        <v>1816.07</v>
      </c>
      <c r="D272" s="35">
        <f>IF(A272="",0,IF(G271&lt;=0,0,MIN(C272-E272,G271)))</f>
        <v>1425.01</v>
      </c>
      <c r="E272" s="35">
        <f>IF(A272="",0,IF(G271&lt;=0,0,ROUND(G271*('Mortgage Setup'!B9/12),2)))</f>
        <v>391.06</v>
      </c>
      <c r="F272" s="35">
        <f>IF(A272="",0,IF(G271&lt;=0,0,MIN('Mortgage Setup'!B12,MAX(G271-D272,0))))</f>
        <v>100</v>
      </c>
      <c r="G272" s="35">
        <f>IF(A272="",0,MAX(G271-D272-F272,0))</f>
        <v>67997.26</v>
      </c>
      <c r="H272" s="35">
        <f>IF(A272="",0,H271+E272)</f>
        <v>301504.0200000003</v>
      </c>
    </row>
    <row r="273" ht="26" customHeight="1" spans="1:8" x14ac:dyDescent="0.25">
      <c r="A273" s="30">
        <f>IF(G272&gt;0,269,"")</f>
        <v>269</v>
      </c>
      <c r="B273" s="31">
        <f>IF(A273="","",DATE(YEAR('Mortgage Setup'!B11),MONTH('Mortgage Setup'!B11)+268,DAY('Mortgage Setup'!B11)))</f>
        <v>54179</v>
      </c>
      <c r="C273" s="32">
        <f>IF(A273="",0,IF(G272&lt;=0,0,MIN('Mortgage Setup'!B21,G272*(1+'Mortgage Setup'!B9/12))))</f>
        <v>1816.07</v>
      </c>
      <c r="D273" s="32">
        <f>IF(A273="",0,IF(G272&lt;=0,0,MIN(C273-E273,G272)))</f>
        <v>1433.59</v>
      </c>
      <c r="E273" s="32">
        <f>IF(A273="",0,IF(G272&lt;=0,0,ROUND(G272*('Mortgage Setup'!B9/12),2)))</f>
        <v>382.48</v>
      </c>
      <c r="F273" s="32">
        <f>IF(A273="",0,IF(G272&lt;=0,0,MIN('Mortgage Setup'!B12,MAX(G272-D273,0))))</f>
        <v>100</v>
      </c>
      <c r="G273" s="32">
        <f>IF(A273="",0,MAX(G272-D273-F273,0))</f>
        <v>66463.67</v>
      </c>
      <c r="H273" s="32">
        <f>IF(A273="",0,H272+E273)</f>
        <v>301886.5000000003</v>
      </c>
    </row>
    <row r="274" ht="26" customHeight="1" spans="1:8" x14ac:dyDescent="0.25">
      <c r="A274" s="33">
        <f>IF(G273&gt;0,270,"")</f>
        <v>270</v>
      </c>
      <c r="B274" s="34">
        <f>IF(A274="","",DATE(YEAR('Mortgage Setup'!B11),MONTH('Mortgage Setup'!B11)+269,DAY('Mortgage Setup'!B11)))</f>
        <v>54210</v>
      </c>
      <c r="C274" s="35">
        <f>IF(A274="",0,IF(G273&lt;=0,0,MIN('Mortgage Setup'!B21,G273*(1+'Mortgage Setup'!B9/12))))</f>
        <v>1816.07</v>
      </c>
      <c r="D274" s="35">
        <f>IF(A274="",0,IF(G273&lt;=0,0,MIN(C274-E274,G273)))</f>
        <v>1442.21</v>
      </c>
      <c r="E274" s="35">
        <f>IF(A274="",0,IF(G273&lt;=0,0,ROUND(G273*('Mortgage Setup'!B9/12),2)))</f>
        <v>373.86</v>
      </c>
      <c r="F274" s="35">
        <f>IF(A274="",0,IF(G273&lt;=0,0,MIN('Mortgage Setup'!B12,MAX(G273-D274,0))))</f>
        <v>100</v>
      </c>
      <c r="G274" s="35">
        <f>IF(A274="",0,MAX(G273-D274-F274,0))</f>
        <v>64921.46</v>
      </c>
      <c r="H274" s="35">
        <f>IF(A274="",0,H273+E274)</f>
        <v>302260.3600000003</v>
      </c>
    </row>
    <row r="275" ht="26" customHeight="1" spans="1:8" x14ac:dyDescent="0.25">
      <c r="A275" s="30">
        <f>IF(G274&gt;0,271,"")</f>
        <v>271</v>
      </c>
      <c r="B275" s="31">
        <f>IF(A275="","",DATE(YEAR('Mortgage Setup'!B11),MONTH('Mortgage Setup'!B11)+270,DAY('Mortgage Setup'!B11)))</f>
        <v>54240</v>
      </c>
      <c r="C275" s="32">
        <f>IF(A275="",0,IF(G274&lt;=0,0,MIN('Mortgage Setup'!B21,G274*(1+'Mortgage Setup'!B9/12))))</f>
        <v>1816.07</v>
      </c>
      <c r="D275" s="32">
        <f>IF(A275="",0,IF(G274&lt;=0,0,MIN(C275-E275,G274)))</f>
        <v>1450.89</v>
      </c>
      <c r="E275" s="32">
        <f>IF(A275="",0,IF(G274&lt;=0,0,ROUND(G274*('Mortgage Setup'!B9/12),2)))</f>
        <v>365.18</v>
      </c>
      <c r="F275" s="32">
        <f>IF(A275="",0,IF(G274&lt;=0,0,MIN('Mortgage Setup'!B12,MAX(G274-D275,0))))</f>
        <v>100</v>
      </c>
      <c r="G275" s="32">
        <f>IF(A275="",0,MAX(G274-D275-F275,0))</f>
        <v>63370.57</v>
      </c>
      <c r="H275" s="32">
        <f>IF(A275="",0,H274+E275)</f>
        <v>302625.54000000027</v>
      </c>
    </row>
    <row r="276" ht="26" customHeight="1" spans="1:8" x14ac:dyDescent="0.25">
      <c r="A276" s="33">
        <f>IF(G275&gt;0,272,"")</f>
        <v>272</v>
      </c>
      <c r="B276" s="34">
        <f>IF(A276="","",DATE(YEAR('Mortgage Setup'!B11),MONTH('Mortgage Setup'!B11)+271,DAY('Mortgage Setup'!B11)))</f>
        <v>54271</v>
      </c>
      <c r="C276" s="35">
        <f>IF(A276="",0,IF(G275&lt;=0,0,MIN('Mortgage Setup'!B21,G275*(1+'Mortgage Setup'!B9/12))))</f>
        <v>1816.07</v>
      </c>
      <c r="D276" s="35">
        <f>IF(A276="",0,IF(G275&lt;=0,0,MIN(C276-E276,G275)))</f>
        <v>1459.61</v>
      </c>
      <c r="E276" s="35">
        <f>IF(A276="",0,IF(G275&lt;=0,0,ROUND(G275*('Mortgage Setup'!B9/12),2)))</f>
        <v>356.46</v>
      </c>
      <c r="F276" s="35">
        <f>IF(A276="",0,IF(G275&lt;=0,0,MIN('Mortgage Setup'!B12,MAX(G275-D276,0))))</f>
        <v>100</v>
      </c>
      <c r="G276" s="35">
        <f>IF(A276="",0,MAX(G275-D276-F276,0))</f>
        <v>61810.96</v>
      </c>
      <c r="H276" s="35">
        <f>IF(A276="",0,H275+E276)</f>
        <v>302982.0000000003</v>
      </c>
    </row>
    <row r="277" ht="26" customHeight="1" spans="1:8" x14ac:dyDescent="0.25">
      <c r="A277" s="30">
        <f>IF(G276&gt;0,273,"")</f>
        <v>273</v>
      </c>
      <c r="B277" s="31">
        <f>IF(A277="","",DATE(YEAR('Mortgage Setup'!B11),MONTH('Mortgage Setup'!B11)+272,DAY('Mortgage Setup'!B11)))</f>
        <v>54302</v>
      </c>
      <c r="C277" s="32">
        <f>IF(A277="",0,IF(G276&lt;=0,0,MIN('Mortgage Setup'!B21,G276*(1+'Mortgage Setup'!B9/12))))</f>
        <v>1816.07</v>
      </c>
      <c r="D277" s="32">
        <f>IF(A277="",0,IF(G276&lt;=0,0,MIN(C277-E277,G276)))</f>
        <v>1468.38</v>
      </c>
      <c r="E277" s="32">
        <f>IF(A277="",0,IF(G276&lt;=0,0,ROUND(G276*('Mortgage Setup'!B9/12),2)))</f>
        <v>347.69</v>
      </c>
      <c r="F277" s="32">
        <f>IF(A277="",0,IF(G276&lt;=0,0,MIN('Mortgage Setup'!B12,MAX(G276-D277,0))))</f>
        <v>100</v>
      </c>
      <c r="G277" s="32">
        <f>IF(A277="",0,MAX(G276-D277-F277,0))</f>
        <v>60242.58</v>
      </c>
      <c r="H277" s="32">
        <f>IF(A277="",0,H276+E277)</f>
        <v>303329.6900000003</v>
      </c>
    </row>
    <row r="278" ht="26" customHeight="1" spans="1:8" x14ac:dyDescent="0.25">
      <c r="A278" s="33">
        <f>IF(G277&gt;0,274,"")</f>
        <v>274</v>
      </c>
      <c r="B278" s="34">
        <f>IF(A278="","",DATE(YEAR('Mortgage Setup'!B11),MONTH('Mortgage Setup'!B11)+273,DAY('Mortgage Setup'!B11)))</f>
        <v>54332</v>
      </c>
      <c r="C278" s="35">
        <f>IF(A278="",0,IF(G277&lt;=0,0,MIN('Mortgage Setup'!B21,G277*(1+'Mortgage Setup'!B9/12))))</f>
        <v>1816.07</v>
      </c>
      <c r="D278" s="35">
        <f>IF(A278="",0,IF(G277&lt;=0,0,MIN(C278-E278,G277)))</f>
        <v>1477.21</v>
      </c>
      <c r="E278" s="35">
        <f>IF(A278="",0,IF(G277&lt;=0,0,ROUND(G277*('Mortgage Setup'!B9/12),2)))</f>
        <v>338.86</v>
      </c>
      <c r="F278" s="35">
        <f>IF(A278="",0,IF(G277&lt;=0,0,MIN('Mortgage Setup'!B12,MAX(G277-D278,0))))</f>
        <v>100</v>
      </c>
      <c r="G278" s="35">
        <f>IF(A278="",0,MAX(G277-D278-F278,0))</f>
        <v>58665.37</v>
      </c>
      <c r="H278" s="35">
        <f>IF(A278="",0,H277+E278)</f>
        <v>303668.5500000003</v>
      </c>
    </row>
    <row r="279" ht="26" customHeight="1" spans="1:8" x14ac:dyDescent="0.25">
      <c r="A279" s="30">
        <f>IF(G278&gt;0,275,"")</f>
        <v>275</v>
      </c>
      <c r="B279" s="31">
        <f>IF(A279="","",DATE(YEAR('Mortgage Setup'!B11),MONTH('Mortgage Setup'!B11)+274,DAY('Mortgage Setup'!B11)))</f>
        <v>54363</v>
      </c>
      <c r="C279" s="32">
        <f>IF(A279="",0,IF(G278&lt;=0,0,MIN('Mortgage Setup'!B21,G278*(1+'Mortgage Setup'!B9/12))))</f>
        <v>1816.07</v>
      </c>
      <c r="D279" s="32">
        <f>IF(A279="",0,IF(G278&lt;=0,0,MIN(C279-E279,G278)))</f>
        <v>1486.08</v>
      </c>
      <c r="E279" s="32">
        <f>IF(A279="",0,IF(G278&lt;=0,0,ROUND(G278*('Mortgage Setup'!B9/12),2)))</f>
        <v>329.99</v>
      </c>
      <c r="F279" s="32">
        <f>IF(A279="",0,IF(G278&lt;=0,0,MIN('Mortgage Setup'!B12,MAX(G278-D279,0))))</f>
        <v>100</v>
      </c>
      <c r="G279" s="32">
        <f>IF(A279="",0,MAX(G278-D279-F279,0))</f>
        <v>57079.29</v>
      </c>
      <c r="H279" s="32">
        <f>IF(A279="",0,H278+E279)</f>
        <v>303998.54000000027</v>
      </c>
    </row>
    <row r="280" ht="26" customHeight="1" spans="1:8" x14ac:dyDescent="0.25">
      <c r="A280" s="33">
        <f>IF(G279&gt;0,276,"")</f>
        <v>276</v>
      </c>
      <c r="B280" s="34">
        <f>IF(A280="","",DATE(YEAR('Mortgage Setup'!B11),MONTH('Mortgage Setup'!B11)+275,DAY('Mortgage Setup'!B11)))</f>
        <v>54393</v>
      </c>
      <c r="C280" s="35">
        <f>IF(A280="",0,IF(G279&lt;=0,0,MIN('Mortgage Setup'!B21,G279*(1+'Mortgage Setup'!B9/12))))</f>
        <v>1816.07</v>
      </c>
      <c r="D280" s="35">
        <f>IF(A280="",0,IF(G279&lt;=0,0,MIN(C280-E280,G279)))</f>
        <v>1495</v>
      </c>
      <c r="E280" s="35">
        <f>IF(A280="",0,IF(G279&lt;=0,0,ROUND(G279*('Mortgage Setup'!B9/12),2)))</f>
        <v>321.07</v>
      </c>
      <c r="F280" s="35">
        <f>IF(A280="",0,IF(G279&lt;=0,0,MIN('Mortgage Setup'!B12,MAX(G279-D280,0))))</f>
        <v>100</v>
      </c>
      <c r="G280" s="35">
        <f>IF(A280="",0,MAX(G279-D280-F280,0))</f>
        <v>55484.29</v>
      </c>
      <c r="H280" s="35">
        <f>IF(A280="",0,H279+E280)</f>
        <v>304319.6100000003</v>
      </c>
    </row>
    <row r="281" ht="26" customHeight="1" spans="1:8" x14ac:dyDescent="0.25">
      <c r="A281" s="30">
        <f>IF(G280&gt;0,277,"")</f>
        <v>277</v>
      </c>
      <c r="B281" s="31">
        <f>IF(A281="","",DATE(YEAR('Mortgage Setup'!B11),MONTH('Mortgage Setup'!B11)+276,DAY('Mortgage Setup'!B11)))</f>
        <v>54424</v>
      </c>
      <c r="C281" s="32">
        <f>IF(A281="",0,IF(G280&lt;=0,0,MIN('Mortgage Setup'!B21,G280*(1+'Mortgage Setup'!B9/12))))</f>
        <v>1816.07</v>
      </c>
      <c r="D281" s="32">
        <f>IF(A281="",0,IF(G280&lt;=0,0,MIN(C281-E281,G280)))</f>
        <v>1503.97</v>
      </c>
      <c r="E281" s="32">
        <f>IF(A281="",0,IF(G280&lt;=0,0,ROUND(G280*('Mortgage Setup'!B9/12),2)))</f>
        <v>312.1</v>
      </c>
      <c r="F281" s="32">
        <f>IF(A281="",0,IF(G280&lt;=0,0,MIN('Mortgage Setup'!B12,MAX(G280-D281,0))))</f>
        <v>100</v>
      </c>
      <c r="G281" s="32">
        <f>IF(A281="",0,MAX(G280-D281-F281,0))</f>
        <v>53880.32</v>
      </c>
      <c r="H281" s="32">
        <f>IF(A281="",0,H280+E281)</f>
        <v>304631.71000000025</v>
      </c>
    </row>
    <row r="282" ht="26" customHeight="1" spans="1:8" x14ac:dyDescent="0.25">
      <c r="A282" s="33">
        <f>IF(G281&gt;0,278,"")</f>
        <v>278</v>
      </c>
      <c r="B282" s="34">
        <f>IF(A282="","",DATE(YEAR('Mortgage Setup'!B11),MONTH('Mortgage Setup'!B11)+277,DAY('Mortgage Setup'!B11)))</f>
        <v>54455</v>
      </c>
      <c r="C282" s="35">
        <f>IF(A282="",0,IF(G281&lt;=0,0,MIN('Mortgage Setup'!B21,G281*(1+'Mortgage Setup'!B9/12))))</f>
        <v>1816.07</v>
      </c>
      <c r="D282" s="35">
        <f>IF(A282="",0,IF(G281&lt;=0,0,MIN(C282-E282,G281)))</f>
        <v>1512.99</v>
      </c>
      <c r="E282" s="35">
        <f>IF(A282="",0,IF(G281&lt;=0,0,ROUND(G281*('Mortgage Setup'!B9/12),2)))</f>
        <v>303.08</v>
      </c>
      <c r="F282" s="35">
        <f>IF(A282="",0,IF(G281&lt;=0,0,MIN('Mortgage Setup'!B12,MAX(G281-D282,0))))</f>
        <v>100</v>
      </c>
      <c r="G282" s="35">
        <f>IF(A282="",0,MAX(G281-D282-F282,0))</f>
        <v>52267.33</v>
      </c>
      <c r="H282" s="35">
        <f>IF(A282="",0,H281+E282)</f>
        <v>304934.79000000027</v>
      </c>
    </row>
    <row r="283" ht="26" customHeight="1" spans="1:8" x14ac:dyDescent="0.25">
      <c r="A283" s="30">
        <f>IF(G282&gt;0,279,"")</f>
        <v>279</v>
      </c>
      <c r="B283" s="31">
        <f>IF(A283="","",DATE(YEAR('Mortgage Setup'!B11),MONTH('Mortgage Setup'!B11)+278,DAY('Mortgage Setup'!B11)))</f>
        <v>54483</v>
      </c>
      <c r="C283" s="32">
        <f>IF(A283="",0,IF(G282&lt;=0,0,MIN('Mortgage Setup'!B21,G282*(1+'Mortgage Setup'!B9/12))))</f>
        <v>1816.07</v>
      </c>
      <c r="D283" s="32">
        <f>IF(A283="",0,IF(G282&lt;=0,0,MIN(C283-E283,G282)))</f>
        <v>1522.07</v>
      </c>
      <c r="E283" s="32">
        <f>IF(A283="",0,IF(G282&lt;=0,0,ROUND(G282*('Mortgage Setup'!B9/12),2)))</f>
        <v>294</v>
      </c>
      <c r="F283" s="32">
        <f>IF(A283="",0,IF(G282&lt;=0,0,MIN('Mortgage Setup'!B12,MAX(G282-D283,0))))</f>
        <v>100</v>
      </c>
      <c r="G283" s="32">
        <f>IF(A283="",0,MAX(G282-D283-F283,0))</f>
        <v>50645.26</v>
      </c>
      <c r="H283" s="32">
        <f>IF(A283="",0,H282+E283)</f>
        <v>305228.79000000027</v>
      </c>
    </row>
    <row r="284" ht="26" customHeight="1" spans="1:8" x14ac:dyDescent="0.25">
      <c r="A284" s="33">
        <f>IF(G283&gt;0,280,"")</f>
        <v>280</v>
      </c>
      <c r="B284" s="34">
        <f>IF(A284="","",DATE(YEAR('Mortgage Setup'!B11),MONTH('Mortgage Setup'!B11)+279,DAY('Mortgage Setup'!B11)))</f>
        <v>54514</v>
      </c>
      <c r="C284" s="35">
        <f>IF(A284="",0,IF(G283&lt;=0,0,MIN('Mortgage Setup'!B21,G283*(1+'Mortgage Setup'!B9/12))))</f>
        <v>1816.07</v>
      </c>
      <c r="D284" s="35">
        <f>IF(A284="",0,IF(G283&lt;=0,0,MIN(C284-E284,G283)))</f>
        <v>1531.19</v>
      </c>
      <c r="E284" s="35">
        <f>IF(A284="",0,IF(G283&lt;=0,0,ROUND(G283*('Mortgage Setup'!B9/12),2)))</f>
        <v>284.88</v>
      </c>
      <c r="F284" s="35">
        <f>IF(A284="",0,IF(G283&lt;=0,0,MIN('Mortgage Setup'!B12,MAX(G283-D284,0))))</f>
        <v>100</v>
      </c>
      <c r="G284" s="35">
        <f>IF(A284="",0,MAX(G283-D284-F284,0))</f>
        <v>49014.07</v>
      </c>
      <c r="H284" s="35">
        <f>IF(A284="",0,H283+E284)</f>
        <v>305513.6700000003</v>
      </c>
    </row>
    <row r="285" ht="26" customHeight="1" spans="1:8" x14ac:dyDescent="0.25">
      <c r="A285" s="30">
        <f>IF(G284&gt;0,281,"")</f>
        <v>281</v>
      </c>
      <c r="B285" s="31">
        <f>IF(A285="","",DATE(YEAR('Mortgage Setup'!B11),MONTH('Mortgage Setup'!B11)+280,DAY('Mortgage Setup'!B11)))</f>
        <v>54544</v>
      </c>
      <c r="C285" s="32">
        <f>IF(A285="",0,IF(G284&lt;=0,0,MIN('Mortgage Setup'!B21,G284*(1+'Mortgage Setup'!B9/12))))</f>
        <v>1816.07</v>
      </c>
      <c r="D285" s="32">
        <f>IF(A285="",0,IF(G284&lt;=0,0,MIN(C285-E285,G284)))</f>
        <v>1540.37</v>
      </c>
      <c r="E285" s="32">
        <f>IF(A285="",0,IF(G284&lt;=0,0,ROUND(G284*('Mortgage Setup'!B9/12),2)))</f>
        <v>275.7</v>
      </c>
      <c r="F285" s="32">
        <f>IF(A285="",0,IF(G284&lt;=0,0,MIN('Mortgage Setup'!B12,MAX(G284-D285,0))))</f>
        <v>100</v>
      </c>
      <c r="G285" s="32">
        <f>IF(A285="",0,MAX(G284-D285-F285,0))</f>
        <v>47373.7</v>
      </c>
      <c r="H285" s="32">
        <f>IF(A285="",0,H284+E285)</f>
        <v>305789.3700000003</v>
      </c>
    </row>
    <row r="286" ht="26" customHeight="1" spans="1:8" x14ac:dyDescent="0.25">
      <c r="A286" s="33">
        <f>IF(G285&gt;0,282,"")</f>
        <v>282</v>
      </c>
      <c r="B286" s="34">
        <f>IF(A286="","",DATE(YEAR('Mortgage Setup'!B11),MONTH('Mortgage Setup'!B11)+281,DAY('Mortgage Setup'!B11)))</f>
        <v>54575</v>
      </c>
      <c r="C286" s="35">
        <f>IF(A286="",0,IF(G285&lt;=0,0,MIN('Mortgage Setup'!B21,G285*(1+'Mortgage Setup'!B9/12))))</f>
        <v>1816.07</v>
      </c>
      <c r="D286" s="35">
        <f>IF(A286="",0,IF(G285&lt;=0,0,MIN(C286-E286,G285)))</f>
        <v>1549.59</v>
      </c>
      <c r="E286" s="35">
        <f>IF(A286="",0,IF(G285&lt;=0,0,ROUND(G285*('Mortgage Setup'!B9/12),2)))</f>
        <v>266.48</v>
      </c>
      <c r="F286" s="35">
        <f>IF(A286="",0,IF(G285&lt;=0,0,MIN('Mortgage Setup'!B12,MAX(G285-D286,0))))</f>
        <v>100</v>
      </c>
      <c r="G286" s="35">
        <f>IF(A286="",0,MAX(G285-D286-F286,0))</f>
        <v>45724.11</v>
      </c>
      <c r="H286" s="35">
        <f>IF(A286="",0,H285+E286)</f>
        <v>306055.85000000027</v>
      </c>
    </row>
    <row r="287" ht="26" customHeight="1" spans="1:8" x14ac:dyDescent="0.25">
      <c r="A287" s="30">
        <f>IF(G286&gt;0,283,"")</f>
        <v>283</v>
      </c>
      <c r="B287" s="31">
        <f>IF(A287="","",DATE(YEAR('Mortgage Setup'!B11),MONTH('Mortgage Setup'!B11)+282,DAY('Mortgage Setup'!B11)))</f>
        <v>54605</v>
      </c>
      <c r="C287" s="32">
        <f>IF(A287="",0,IF(G286&lt;=0,0,MIN('Mortgage Setup'!B21,G286*(1+'Mortgage Setup'!B9/12))))</f>
        <v>1816.07</v>
      </c>
      <c r="D287" s="32">
        <f>IF(A287="",0,IF(G286&lt;=0,0,MIN(C287-E287,G286)))</f>
        <v>1558.87</v>
      </c>
      <c r="E287" s="32">
        <f>IF(A287="",0,IF(G286&lt;=0,0,ROUND(G286*('Mortgage Setup'!B9/12),2)))</f>
        <v>257.2</v>
      </c>
      <c r="F287" s="32">
        <f>IF(A287="",0,IF(G286&lt;=0,0,MIN('Mortgage Setup'!B12,MAX(G286-D287,0))))</f>
        <v>100</v>
      </c>
      <c r="G287" s="32">
        <f>IF(A287="",0,MAX(G286-D287-F287,0))</f>
        <v>44065.24</v>
      </c>
      <c r="H287" s="32">
        <f>IF(A287="",0,H286+E287)</f>
        <v>306313.0500000003</v>
      </c>
    </row>
    <row r="288" ht="26" customHeight="1" spans="1:8" x14ac:dyDescent="0.25">
      <c r="A288" s="33">
        <f>IF(G287&gt;0,284,"")</f>
        <v>284</v>
      </c>
      <c r="B288" s="34">
        <f>IF(A288="","",DATE(YEAR('Mortgage Setup'!B11),MONTH('Mortgage Setup'!B11)+283,DAY('Mortgage Setup'!B11)))</f>
        <v>54636</v>
      </c>
      <c r="C288" s="35">
        <f>IF(A288="",0,IF(G287&lt;=0,0,MIN('Mortgage Setup'!B21,G287*(1+'Mortgage Setup'!B9/12))))</f>
        <v>1816.07</v>
      </c>
      <c r="D288" s="35">
        <f>IF(A288="",0,IF(G287&lt;=0,0,MIN(C288-E288,G287)))</f>
        <v>1568.2</v>
      </c>
      <c r="E288" s="35">
        <f>IF(A288="",0,IF(G287&lt;=0,0,ROUND(G287*('Mortgage Setup'!B9/12),2)))</f>
        <v>247.87</v>
      </c>
      <c r="F288" s="35">
        <f>IF(A288="",0,IF(G287&lt;=0,0,MIN('Mortgage Setup'!B12,MAX(G287-D288,0))))</f>
        <v>100</v>
      </c>
      <c r="G288" s="35">
        <f>IF(A288="",0,MAX(G287-D288-F288,0))</f>
        <v>42397.04</v>
      </c>
      <c r="H288" s="35">
        <f>IF(A288="",0,H287+E288)</f>
        <v>306560.9200000003</v>
      </c>
    </row>
    <row r="289" ht="26" customHeight="1" spans="1:8" x14ac:dyDescent="0.25">
      <c r="A289" s="30">
        <f>IF(G288&gt;0,285,"")</f>
        <v>285</v>
      </c>
      <c r="B289" s="31">
        <f>IF(A289="","",DATE(YEAR('Mortgage Setup'!B11),MONTH('Mortgage Setup'!B11)+284,DAY('Mortgage Setup'!B11)))</f>
        <v>54667</v>
      </c>
      <c r="C289" s="32">
        <f>IF(A289="",0,IF(G288&lt;=0,0,MIN('Mortgage Setup'!B21,G288*(1+'Mortgage Setup'!B9/12))))</f>
        <v>1816.07</v>
      </c>
      <c r="D289" s="32">
        <f>IF(A289="",0,IF(G288&lt;=0,0,MIN(C289-E289,G288)))</f>
        <v>1577.59</v>
      </c>
      <c r="E289" s="32">
        <f>IF(A289="",0,IF(G288&lt;=0,0,ROUND(G288*('Mortgage Setup'!B9/12),2)))</f>
        <v>238.48</v>
      </c>
      <c r="F289" s="32">
        <f>IF(A289="",0,IF(G288&lt;=0,0,MIN('Mortgage Setup'!B12,MAX(G288-D289,0))))</f>
        <v>100</v>
      </c>
      <c r="G289" s="32">
        <f>IF(A289="",0,MAX(G288-D289-F289,0))</f>
        <v>40719.45</v>
      </c>
      <c r="H289" s="32">
        <f>IF(A289="",0,H288+E289)</f>
        <v>306799.40000000026</v>
      </c>
    </row>
    <row r="290" ht="26" customHeight="1" spans="1:8" x14ac:dyDescent="0.25">
      <c r="A290" s="33">
        <f>IF(G289&gt;0,286,"")</f>
        <v>286</v>
      </c>
      <c r="B290" s="34">
        <f>IF(A290="","",DATE(YEAR('Mortgage Setup'!B11),MONTH('Mortgage Setup'!B11)+285,DAY('Mortgage Setup'!B11)))</f>
        <v>54697</v>
      </c>
      <c r="C290" s="35">
        <f>IF(A290="",0,IF(G289&lt;=0,0,MIN('Mortgage Setup'!B21,G289*(1+'Mortgage Setup'!B9/12))))</f>
        <v>1816.07</v>
      </c>
      <c r="D290" s="35">
        <f>IF(A290="",0,IF(G289&lt;=0,0,MIN(C290-E290,G289)))</f>
        <v>1587.02</v>
      </c>
      <c r="E290" s="35">
        <f>IF(A290="",0,IF(G289&lt;=0,0,ROUND(G289*('Mortgage Setup'!B9/12),2)))</f>
        <v>229.05</v>
      </c>
      <c r="F290" s="35">
        <f>IF(A290="",0,IF(G289&lt;=0,0,MIN('Mortgage Setup'!B12,MAX(G289-D290,0))))</f>
        <v>100</v>
      </c>
      <c r="G290" s="35">
        <f>IF(A290="",0,MAX(G289-D290-F290,0))</f>
        <v>39032.43</v>
      </c>
      <c r="H290" s="35">
        <f>IF(A290="",0,H289+E290)</f>
        <v>307028.45000000024</v>
      </c>
    </row>
    <row r="291" ht="26" customHeight="1" spans="1:8" x14ac:dyDescent="0.25">
      <c r="A291" s="30">
        <f>IF(G290&gt;0,287,"")</f>
        <v>287</v>
      </c>
      <c r="B291" s="31">
        <f>IF(A291="","",DATE(YEAR('Mortgage Setup'!B11),MONTH('Mortgage Setup'!B11)+286,DAY('Mortgage Setup'!B11)))</f>
        <v>54728</v>
      </c>
      <c r="C291" s="32">
        <f>IF(A291="",0,IF(G290&lt;=0,0,MIN('Mortgage Setup'!B21,G290*(1+'Mortgage Setup'!B9/12))))</f>
        <v>1816.07</v>
      </c>
      <c r="D291" s="32">
        <f>IF(A291="",0,IF(G290&lt;=0,0,MIN(C291-E291,G290)))</f>
        <v>1596.51</v>
      </c>
      <c r="E291" s="32">
        <f>IF(A291="",0,IF(G290&lt;=0,0,ROUND(G290*('Mortgage Setup'!B9/12),2)))</f>
        <v>219.56</v>
      </c>
      <c r="F291" s="32">
        <f>IF(A291="",0,IF(G290&lt;=0,0,MIN('Mortgage Setup'!B12,MAX(G290-D291,0))))</f>
        <v>100</v>
      </c>
      <c r="G291" s="32">
        <f>IF(A291="",0,MAX(G290-D291-F291,0))</f>
        <v>37335.92</v>
      </c>
      <c r="H291" s="32">
        <f>IF(A291="",0,H290+E291)</f>
        <v>307248.01000000024</v>
      </c>
    </row>
    <row r="292" ht="26" customHeight="1" spans="1:8" x14ac:dyDescent="0.25">
      <c r="A292" s="33">
        <f>IF(G291&gt;0,288,"")</f>
        <v>288</v>
      </c>
      <c r="B292" s="34">
        <f>IF(A292="","",DATE(YEAR('Mortgage Setup'!B11),MONTH('Mortgage Setup'!B11)+287,DAY('Mortgage Setup'!B11)))</f>
        <v>54758</v>
      </c>
      <c r="C292" s="35">
        <f>IF(A292="",0,IF(G291&lt;=0,0,MIN('Mortgage Setup'!B21,G291*(1+'Mortgage Setup'!B9/12))))</f>
        <v>1816.07</v>
      </c>
      <c r="D292" s="35">
        <f>IF(A292="",0,IF(G291&lt;=0,0,MIN(C292-E292,G291)))</f>
        <v>1606.06</v>
      </c>
      <c r="E292" s="35">
        <f>IF(A292="",0,IF(G291&lt;=0,0,ROUND(G291*('Mortgage Setup'!B9/12),2)))</f>
        <v>210.01</v>
      </c>
      <c r="F292" s="35">
        <f>IF(A292="",0,IF(G291&lt;=0,0,MIN('Mortgage Setup'!B12,MAX(G291-D292,0))))</f>
        <v>100</v>
      </c>
      <c r="G292" s="35">
        <f>IF(A292="",0,MAX(G291-D292-F292,0))</f>
        <v>35629.86</v>
      </c>
      <c r="H292" s="35">
        <f>IF(A292="",0,H291+E292)</f>
        <v>307458.02000000025</v>
      </c>
    </row>
    <row r="293" ht="26" customHeight="1" spans="1:8" x14ac:dyDescent="0.25">
      <c r="A293" s="30">
        <f>IF(G292&gt;0,289,"")</f>
        <v>289</v>
      </c>
      <c r="B293" s="31">
        <f>IF(A293="","",DATE(YEAR('Mortgage Setup'!B11),MONTH('Mortgage Setup'!B11)+288,DAY('Mortgage Setup'!B11)))</f>
        <v>54789</v>
      </c>
      <c r="C293" s="32">
        <f>IF(A293="",0,IF(G292&lt;=0,0,MIN('Mortgage Setup'!B21,G292*(1+'Mortgage Setup'!B9/12))))</f>
        <v>1816.07</v>
      </c>
      <c r="D293" s="32">
        <f>IF(A293="",0,IF(G292&lt;=0,0,MIN(C293-E293,G292)))</f>
        <v>1615.65</v>
      </c>
      <c r="E293" s="32">
        <f>IF(A293="",0,IF(G292&lt;=0,0,ROUND(G292*('Mortgage Setup'!B9/12),2)))</f>
        <v>200.42</v>
      </c>
      <c r="F293" s="32">
        <f>IF(A293="",0,IF(G292&lt;=0,0,MIN('Mortgage Setup'!B12,MAX(G292-D293,0))))</f>
        <v>100</v>
      </c>
      <c r="G293" s="32">
        <f>IF(A293="",0,MAX(G292-D293-F293,0))</f>
        <v>33914.21</v>
      </c>
      <c r="H293" s="32">
        <f>IF(A293="",0,H292+E293)</f>
        <v>307658.44000000024</v>
      </c>
    </row>
    <row r="294" ht="26" customHeight="1" spans="1:8" x14ac:dyDescent="0.25">
      <c r="A294" s="33">
        <f>IF(G293&gt;0,290,"")</f>
        <v>290</v>
      </c>
      <c r="B294" s="34">
        <f>IF(A294="","",DATE(YEAR('Mortgage Setup'!B11),MONTH('Mortgage Setup'!B11)+289,DAY('Mortgage Setup'!B11)))</f>
        <v>54820</v>
      </c>
      <c r="C294" s="35">
        <f>IF(A294="",0,IF(G293&lt;=0,0,MIN('Mortgage Setup'!B21,G293*(1+'Mortgage Setup'!B9/12))))</f>
        <v>1816.07</v>
      </c>
      <c r="D294" s="35">
        <f>IF(A294="",0,IF(G293&lt;=0,0,MIN(C294-E294,G293)))</f>
        <v>1625.3</v>
      </c>
      <c r="E294" s="35">
        <f>IF(A294="",0,IF(G293&lt;=0,0,ROUND(G293*('Mortgage Setup'!B9/12),2)))</f>
        <v>190.77</v>
      </c>
      <c r="F294" s="35">
        <f>IF(A294="",0,IF(G293&lt;=0,0,MIN('Mortgage Setup'!B12,MAX(G293-D294,0))))</f>
        <v>100</v>
      </c>
      <c r="G294" s="35">
        <f>IF(A294="",0,MAX(G293-D294-F294,0))</f>
        <v>32188.91</v>
      </c>
      <c r="H294" s="35">
        <f>IF(A294="",0,H293+E294)</f>
        <v>307849.21000000025</v>
      </c>
    </row>
    <row r="295" ht="26" customHeight="1" spans="1:8" x14ac:dyDescent="0.25">
      <c r="A295" s="30">
        <f>IF(G294&gt;0,291,"")</f>
        <v>291</v>
      </c>
      <c r="B295" s="31">
        <f>IF(A295="","",DATE(YEAR('Mortgage Setup'!B11),MONTH('Mortgage Setup'!B11)+290,DAY('Mortgage Setup'!B11)))</f>
        <v>54848</v>
      </c>
      <c r="C295" s="32">
        <f>IF(A295="",0,IF(G294&lt;=0,0,MIN('Mortgage Setup'!B21,G294*(1+'Mortgage Setup'!B9/12))))</f>
        <v>1816.07</v>
      </c>
      <c r="D295" s="32">
        <f>IF(A295="",0,IF(G294&lt;=0,0,MIN(C295-E295,G294)))</f>
        <v>1635.01</v>
      </c>
      <c r="E295" s="32">
        <f>IF(A295="",0,IF(G294&lt;=0,0,ROUND(G294*('Mortgage Setup'!B9/12),2)))</f>
        <v>181.06</v>
      </c>
      <c r="F295" s="32">
        <f>IF(A295="",0,IF(G294&lt;=0,0,MIN('Mortgage Setup'!B12,MAX(G294-D295,0))))</f>
        <v>100</v>
      </c>
      <c r="G295" s="32">
        <f>IF(A295="",0,MAX(G294-D295-F295,0))</f>
        <v>30453.9</v>
      </c>
      <c r="H295" s="32">
        <f>IF(A295="",0,H294+E295)</f>
        <v>308030.27000000025</v>
      </c>
    </row>
    <row r="296" ht="26" customHeight="1" spans="1:8" x14ac:dyDescent="0.25">
      <c r="A296" s="33">
        <f>IF(G295&gt;0,292,"")</f>
        <v>292</v>
      </c>
      <c r="B296" s="34">
        <f>IF(A296="","",DATE(YEAR('Mortgage Setup'!B11),MONTH('Mortgage Setup'!B11)+291,DAY('Mortgage Setup'!B11)))</f>
        <v>54879</v>
      </c>
      <c r="C296" s="35">
        <f>IF(A296="",0,IF(G295&lt;=0,0,MIN('Mortgage Setup'!B21,G295*(1+'Mortgage Setup'!B9/12))))</f>
        <v>1816.07</v>
      </c>
      <c r="D296" s="35">
        <f>IF(A296="",0,IF(G295&lt;=0,0,MIN(C296-E296,G295)))</f>
        <v>1644.77</v>
      </c>
      <c r="E296" s="35">
        <f>IF(A296="",0,IF(G295&lt;=0,0,ROUND(G295*('Mortgage Setup'!B9/12),2)))</f>
        <v>171.3</v>
      </c>
      <c r="F296" s="35">
        <f>IF(A296="",0,IF(G295&lt;=0,0,MIN('Mortgage Setup'!B12,MAX(G295-D296,0))))</f>
        <v>100</v>
      </c>
      <c r="G296" s="35">
        <f>IF(A296="",0,MAX(G295-D296-F296,0))</f>
        <v>28709.13</v>
      </c>
      <c r="H296" s="35">
        <f>IF(A296="",0,H295+E296)</f>
        <v>308201.57000000024</v>
      </c>
    </row>
    <row r="297" ht="26" customHeight="1" spans="1:8" x14ac:dyDescent="0.25">
      <c r="A297" s="30">
        <f>IF(G296&gt;0,293,"")</f>
        <v>293</v>
      </c>
      <c r="B297" s="31">
        <f>IF(A297="","",DATE(YEAR('Mortgage Setup'!B11),MONTH('Mortgage Setup'!B11)+292,DAY('Mortgage Setup'!B11)))</f>
        <v>54909</v>
      </c>
      <c r="C297" s="32">
        <f>IF(A297="",0,IF(G296&lt;=0,0,MIN('Mortgage Setup'!B21,G296*(1+'Mortgage Setup'!B9/12))))</f>
        <v>1816.07</v>
      </c>
      <c r="D297" s="32">
        <f>IF(A297="",0,IF(G296&lt;=0,0,MIN(C297-E297,G296)))</f>
        <v>1654.58</v>
      </c>
      <c r="E297" s="32">
        <f>IF(A297="",0,IF(G296&lt;=0,0,ROUND(G296*('Mortgage Setup'!B9/12),2)))</f>
        <v>161.49</v>
      </c>
      <c r="F297" s="32">
        <f>IF(A297="",0,IF(G296&lt;=0,0,MIN('Mortgage Setup'!B12,MAX(G296-D297,0))))</f>
        <v>100</v>
      </c>
      <c r="G297" s="32">
        <f>IF(A297="",0,MAX(G296-D297-F297,0))</f>
        <v>26954.55</v>
      </c>
      <c r="H297" s="32">
        <f>IF(A297="",0,H296+E297)</f>
        <v>308363.06000000023</v>
      </c>
    </row>
    <row r="298" ht="26" customHeight="1" spans="1:8" x14ac:dyDescent="0.25">
      <c r="A298" s="33">
        <f>IF(G297&gt;0,294,"")</f>
        <v>294</v>
      </c>
      <c r="B298" s="34">
        <f>IF(A298="","",DATE(YEAR('Mortgage Setup'!B11),MONTH('Mortgage Setup'!B11)+293,DAY('Mortgage Setup'!B11)))</f>
        <v>54940</v>
      </c>
      <c r="C298" s="35">
        <f>IF(A298="",0,IF(G297&lt;=0,0,MIN('Mortgage Setup'!B21,G297*(1+'Mortgage Setup'!B9/12))))</f>
        <v>1816.07</v>
      </c>
      <c r="D298" s="35">
        <f>IF(A298="",0,IF(G297&lt;=0,0,MIN(C298-E298,G297)))</f>
        <v>1664.45</v>
      </c>
      <c r="E298" s="35">
        <f>IF(A298="",0,IF(G297&lt;=0,0,ROUND(G297*('Mortgage Setup'!B9/12),2)))</f>
        <v>151.62</v>
      </c>
      <c r="F298" s="35">
        <f>IF(A298="",0,IF(G297&lt;=0,0,MIN('Mortgage Setup'!B12,MAX(G297-D298,0))))</f>
        <v>100</v>
      </c>
      <c r="G298" s="35">
        <f>IF(A298="",0,MAX(G297-D298-F298,0))</f>
        <v>25190.1</v>
      </c>
      <c r="H298" s="35">
        <f>IF(A298="",0,H297+E298)</f>
        <v>308514.6800000002</v>
      </c>
    </row>
    <row r="299" ht="26" customHeight="1" spans="1:8" x14ac:dyDescent="0.25">
      <c r="A299" s="30">
        <f>IF(G298&gt;0,295,"")</f>
        <v>295</v>
      </c>
      <c r="B299" s="31">
        <f>IF(A299="","",DATE(YEAR('Mortgage Setup'!B11),MONTH('Mortgage Setup'!B11)+294,DAY('Mortgage Setup'!B11)))</f>
        <v>54970</v>
      </c>
      <c r="C299" s="32">
        <f>IF(A299="",0,IF(G298&lt;=0,0,MIN('Mortgage Setup'!B21,G298*(1+'Mortgage Setup'!B9/12))))</f>
        <v>1816.07</v>
      </c>
      <c r="D299" s="32">
        <f>IF(A299="",0,IF(G298&lt;=0,0,MIN(C299-E299,G298)))</f>
        <v>1674.38</v>
      </c>
      <c r="E299" s="32">
        <f>IF(A299="",0,IF(G298&lt;=0,0,ROUND(G298*('Mortgage Setup'!B9/12),2)))</f>
        <v>141.69</v>
      </c>
      <c r="F299" s="32">
        <f>IF(A299="",0,IF(G298&lt;=0,0,MIN('Mortgage Setup'!B12,MAX(G298-D299,0))))</f>
        <v>100</v>
      </c>
      <c r="G299" s="32">
        <f>IF(A299="",0,MAX(G298-D299-F299,0))</f>
        <v>23415.72</v>
      </c>
      <c r="H299" s="32">
        <f>IF(A299="",0,H298+E299)</f>
        <v>308656.3700000002</v>
      </c>
    </row>
    <row r="300" ht="26" customHeight="1" spans="1:8" x14ac:dyDescent="0.25">
      <c r="A300" s="33">
        <f>IF(G299&gt;0,296,"")</f>
        <v>296</v>
      </c>
      <c r="B300" s="34">
        <f>IF(A300="","",DATE(YEAR('Mortgage Setup'!B11),MONTH('Mortgage Setup'!B11)+295,DAY('Mortgage Setup'!B11)))</f>
        <v>55001</v>
      </c>
      <c r="C300" s="35">
        <f>IF(A300="",0,IF(G299&lt;=0,0,MIN('Mortgage Setup'!B21,G299*(1+'Mortgage Setup'!B9/12))))</f>
        <v>1816.07</v>
      </c>
      <c r="D300" s="35">
        <f>IF(A300="",0,IF(G299&lt;=0,0,MIN(C300-E300,G299)))</f>
        <v>1684.36</v>
      </c>
      <c r="E300" s="35">
        <f>IF(A300="",0,IF(G299&lt;=0,0,ROUND(G299*('Mortgage Setup'!B9/12),2)))</f>
        <v>131.71</v>
      </c>
      <c r="F300" s="35">
        <f>IF(A300="",0,IF(G299&lt;=0,0,MIN('Mortgage Setup'!B12,MAX(G299-D300,0))))</f>
        <v>100</v>
      </c>
      <c r="G300" s="35">
        <f>IF(A300="",0,MAX(G299-D300-F300,0))</f>
        <v>21631.36</v>
      </c>
      <c r="H300" s="35">
        <f>IF(A300="",0,H299+E300)</f>
        <v>308788.08000000025</v>
      </c>
    </row>
    <row r="301" ht="26" customHeight="1" spans="1:8" x14ac:dyDescent="0.25">
      <c r="A301" s="30">
        <f>IF(G300&gt;0,297,"")</f>
        <v>297</v>
      </c>
      <c r="B301" s="31">
        <f>IF(A301="","",DATE(YEAR('Mortgage Setup'!B11),MONTH('Mortgage Setup'!B11)+296,DAY('Mortgage Setup'!B11)))</f>
        <v>55032</v>
      </c>
      <c r="C301" s="32">
        <f>IF(A301="",0,IF(G300&lt;=0,0,MIN('Mortgage Setup'!B21,G300*(1+'Mortgage Setup'!B9/12))))</f>
        <v>1816.07</v>
      </c>
      <c r="D301" s="32">
        <f>IF(A301="",0,IF(G300&lt;=0,0,MIN(C301-E301,G300)))</f>
        <v>1694.39</v>
      </c>
      <c r="E301" s="32">
        <f>IF(A301="",0,IF(G300&lt;=0,0,ROUND(G300*('Mortgage Setup'!B9/12),2)))</f>
        <v>121.68</v>
      </c>
      <c r="F301" s="32">
        <f>IF(A301="",0,IF(G300&lt;=0,0,MIN('Mortgage Setup'!B12,MAX(G300-D301,0))))</f>
        <v>100</v>
      </c>
      <c r="G301" s="32">
        <f>IF(A301="",0,MAX(G300-D301-F301,0))</f>
        <v>19836.97</v>
      </c>
      <c r="H301" s="32">
        <f>IF(A301="",0,H300+E301)</f>
        <v>308909.76000000024</v>
      </c>
    </row>
    <row r="302" ht="26" customHeight="1" spans="1:8" x14ac:dyDescent="0.25">
      <c r="A302" s="33">
        <f>IF(G301&gt;0,298,"")</f>
        <v>298</v>
      </c>
      <c r="B302" s="34">
        <f>IF(A302="","",DATE(YEAR('Mortgage Setup'!B11),MONTH('Mortgage Setup'!B11)+297,DAY('Mortgage Setup'!B11)))</f>
        <v>55062</v>
      </c>
      <c r="C302" s="35">
        <f>IF(A302="",0,IF(G301&lt;=0,0,MIN('Mortgage Setup'!B21,G301*(1+'Mortgage Setup'!B9/12))))</f>
        <v>1816.07</v>
      </c>
      <c r="D302" s="35">
        <f>IF(A302="",0,IF(G301&lt;=0,0,MIN(C302-E302,G301)))</f>
        <v>1704.49</v>
      </c>
      <c r="E302" s="35">
        <f>IF(A302="",0,IF(G301&lt;=0,0,ROUND(G301*('Mortgage Setup'!B9/12),2)))</f>
        <v>111.58</v>
      </c>
      <c r="F302" s="35">
        <f>IF(A302="",0,IF(G301&lt;=0,0,MIN('Mortgage Setup'!B12,MAX(G301-D302,0))))</f>
        <v>100</v>
      </c>
      <c r="G302" s="35">
        <f>IF(A302="",0,MAX(G301-D302-F302,0))</f>
        <v>18032.48</v>
      </c>
      <c r="H302" s="35">
        <f>IF(A302="",0,H301+E302)</f>
        <v>309021.34000000026</v>
      </c>
    </row>
    <row r="303" ht="26" customHeight="1" spans="1:8" x14ac:dyDescent="0.25">
      <c r="A303" s="30">
        <f>IF(G302&gt;0,299,"")</f>
        <v>299</v>
      </c>
      <c r="B303" s="31">
        <f>IF(A303="","",DATE(YEAR('Mortgage Setup'!B11),MONTH('Mortgage Setup'!B11)+298,DAY('Mortgage Setup'!B11)))</f>
        <v>55093</v>
      </c>
      <c r="C303" s="32">
        <f>IF(A303="",0,IF(G302&lt;=0,0,MIN('Mortgage Setup'!B21,G302*(1+'Mortgage Setup'!B9/12))))</f>
        <v>1816.07</v>
      </c>
      <c r="D303" s="32">
        <f>IF(A303="",0,IF(G302&lt;=0,0,MIN(C303-E303,G302)))</f>
        <v>1714.64</v>
      </c>
      <c r="E303" s="32">
        <f>IF(A303="",0,IF(G302&lt;=0,0,ROUND(G302*('Mortgage Setup'!B9/12),2)))</f>
        <v>101.43</v>
      </c>
      <c r="F303" s="32">
        <f>IF(A303="",0,IF(G302&lt;=0,0,MIN('Mortgage Setup'!B12,MAX(G302-D303,0))))</f>
        <v>100</v>
      </c>
      <c r="G303" s="32">
        <f>IF(A303="",0,MAX(G302-D303-F303,0))</f>
        <v>16217.84</v>
      </c>
      <c r="H303" s="32">
        <f>IF(A303="",0,H302+E303)</f>
        <v>309122.77000000025</v>
      </c>
    </row>
    <row r="304" ht="26" customHeight="1" spans="1:8" x14ac:dyDescent="0.25">
      <c r="A304" s="33">
        <f>IF(G303&gt;0,300,"")</f>
        <v>300</v>
      </c>
      <c r="B304" s="34">
        <f>IF(A304="","",DATE(YEAR('Mortgage Setup'!B11),MONTH('Mortgage Setup'!B11)+299,DAY('Mortgage Setup'!B11)))</f>
        <v>55123</v>
      </c>
      <c r="C304" s="35">
        <f>IF(A304="",0,IF(G303&lt;=0,0,MIN('Mortgage Setup'!B21,G303*(1+'Mortgage Setup'!B9/12))))</f>
        <v>1816.07</v>
      </c>
      <c r="D304" s="35">
        <f>IF(A304="",0,IF(G303&lt;=0,0,MIN(C304-E304,G303)))</f>
        <v>1724.84</v>
      </c>
      <c r="E304" s="35">
        <f>IF(A304="",0,IF(G303&lt;=0,0,ROUND(G303*('Mortgage Setup'!B9/12),2)))</f>
        <v>91.23</v>
      </c>
      <c r="F304" s="35">
        <f>IF(A304="",0,IF(G303&lt;=0,0,MIN('Mortgage Setup'!B12,MAX(G303-D304,0))))</f>
        <v>100</v>
      </c>
      <c r="G304" s="35">
        <f>IF(A304="",0,MAX(G303-D304-F304,0))</f>
        <v>14393</v>
      </c>
      <c r="H304" s="35">
        <f>IF(A304="",0,H303+E304)</f>
        <v>309214.00000000023</v>
      </c>
    </row>
    <row r="305" ht="26" customHeight="1" spans="1:8" x14ac:dyDescent="0.25">
      <c r="A305" s="30">
        <f>IF(G304&gt;0,301,"")</f>
        <v>301</v>
      </c>
      <c r="B305" s="31">
        <f>IF(A305="","",DATE(YEAR('Mortgage Setup'!B11),MONTH('Mortgage Setup'!B11)+300,DAY('Mortgage Setup'!B11)))</f>
        <v>55154</v>
      </c>
      <c r="C305" s="32">
        <f>IF(A305="",0,IF(G304&lt;=0,0,MIN('Mortgage Setup'!B21,G304*(1+'Mortgage Setup'!B9/12))))</f>
        <v>1816.07</v>
      </c>
      <c r="D305" s="32">
        <f>IF(A305="",0,IF(G304&lt;=0,0,MIN(C305-E305,G304)))</f>
        <v>1735.11</v>
      </c>
      <c r="E305" s="32">
        <f>IF(A305="",0,IF(G304&lt;=0,0,ROUND(G304*('Mortgage Setup'!B9/12),2)))</f>
        <v>80.96</v>
      </c>
      <c r="F305" s="32">
        <f>IF(A305="",0,IF(G304&lt;=0,0,MIN('Mortgage Setup'!B12,MAX(G304-D305,0))))</f>
        <v>100</v>
      </c>
      <c r="G305" s="32">
        <f>IF(A305="",0,MAX(G304-D305-F305,0))</f>
        <v>12557.89</v>
      </c>
      <c r="H305" s="32">
        <f>IF(A305="",0,H304+E305)</f>
        <v>309294.96000000025</v>
      </c>
    </row>
    <row r="306" ht="26" customHeight="1" spans="1:8" x14ac:dyDescent="0.25">
      <c r="A306" s="33">
        <f>IF(G305&gt;0,302,"")</f>
        <v>302</v>
      </c>
      <c r="B306" s="34">
        <f>IF(A306="","",DATE(YEAR('Mortgage Setup'!B11),MONTH('Mortgage Setup'!B11)+301,DAY('Mortgage Setup'!B11)))</f>
        <v>55185</v>
      </c>
      <c r="C306" s="35">
        <f>IF(A306="",0,IF(G305&lt;=0,0,MIN('Mortgage Setup'!B21,G305*(1+'Mortgage Setup'!B9/12))))</f>
        <v>1816.07</v>
      </c>
      <c r="D306" s="35">
        <f>IF(A306="",0,IF(G305&lt;=0,0,MIN(C306-E306,G305)))</f>
        <v>1745.43</v>
      </c>
      <c r="E306" s="35">
        <f>IF(A306="",0,IF(G305&lt;=0,0,ROUND(G305*('Mortgage Setup'!B9/12),2)))</f>
        <v>70.64</v>
      </c>
      <c r="F306" s="35">
        <f>IF(A306="",0,IF(G305&lt;=0,0,MIN('Mortgage Setup'!B12,MAX(G305-D306,0))))</f>
        <v>100</v>
      </c>
      <c r="G306" s="35">
        <f>IF(A306="",0,MAX(G305-D306-F306,0))</f>
        <v>10712.46</v>
      </c>
      <c r="H306" s="35">
        <f>IF(A306="",0,H305+E306)</f>
        <v>309365.60000000027</v>
      </c>
    </row>
    <row r="307" ht="26" customHeight="1" spans="1:8" x14ac:dyDescent="0.25">
      <c r="A307" s="30">
        <f>IF(G306&gt;0,303,"")</f>
        <v>303</v>
      </c>
      <c r="B307" s="31">
        <f>IF(A307="","",DATE(YEAR('Mortgage Setup'!B11),MONTH('Mortgage Setup'!B11)+302,DAY('Mortgage Setup'!B11)))</f>
        <v>55213</v>
      </c>
      <c r="C307" s="32">
        <f>IF(A307="",0,IF(G306&lt;=0,0,MIN('Mortgage Setup'!B21,G306*(1+'Mortgage Setup'!B9/12))))</f>
        <v>1816.07</v>
      </c>
      <c r="D307" s="32">
        <f>IF(A307="",0,IF(G306&lt;=0,0,MIN(C307-E307,G306)))</f>
        <v>1755.81</v>
      </c>
      <c r="E307" s="32">
        <f>IF(A307="",0,IF(G306&lt;=0,0,ROUND(G306*('Mortgage Setup'!B9/12),2)))</f>
        <v>60.26</v>
      </c>
      <c r="F307" s="32">
        <f>IF(A307="",0,IF(G306&lt;=0,0,MIN('Mortgage Setup'!B12,MAX(G306-D307,0))))</f>
        <v>100</v>
      </c>
      <c r="G307" s="32">
        <f>IF(A307="",0,MAX(G306-D307-F307,0))</f>
        <v>8856.65</v>
      </c>
      <c r="H307" s="32">
        <f>IF(A307="",0,H306+E307)</f>
        <v>309425.8600000003</v>
      </c>
    </row>
    <row r="308" ht="26" customHeight="1" spans="1:8" x14ac:dyDescent="0.25">
      <c r="A308" s="33">
        <f>IF(G307&gt;0,304,"")</f>
        <v>304</v>
      </c>
      <c r="B308" s="34">
        <f>IF(A308="","",DATE(YEAR('Mortgage Setup'!B11),MONTH('Mortgage Setup'!B11)+303,DAY('Mortgage Setup'!B11)))</f>
        <v>55244</v>
      </c>
      <c r="C308" s="35">
        <f>IF(A308="",0,IF(G307&lt;=0,0,MIN('Mortgage Setup'!B21,G307*(1+'Mortgage Setup'!B9/12))))</f>
        <v>1816.07</v>
      </c>
      <c r="D308" s="35">
        <f>IF(A308="",0,IF(G307&lt;=0,0,MIN(C308-E308,G307)))</f>
        <v>1766.25</v>
      </c>
      <c r="E308" s="35">
        <f>IF(A308="",0,IF(G307&lt;=0,0,ROUND(G307*('Mortgage Setup'!B9/12),2)))</f>
        <v>49.82</v>
      </c>
      <c r="F308" s="35">
        <f>IF(A308="",0,IF(G307&lt;=0,0,MIN('Mortgage Setup'!B12,MAX(G307-D308,0))))</f>
        <v>100</v>
      </c>
      <c r="G308" s="35">
        <f>IF(A308="",0,MAX(G307-D308-F308,0))</f>
        <v>6990.4</v>
      </c>
      <c r="H308" s="35">
        <f>IF(A308="",0,H307+E308)</f>
        <v>309475.6800000003</v>
      </c>
    </row>
    <row r="309" ht="26" customHeight="1" spans="1:8" x14ac:dyDescent="0.25">
      <c r="A309" s="30">
        <f>IF(G308&gt;0,305,"")</f>
        <v>305</v>
      </c>
      <c r="B309" s="31">
        <f>IF(A309="","",DATE(YEAR('Mortgage Setup'!B11),MONTH('Mortgage Setup'!B11)+304,DAY('Mortgage Setup'!B11)))</f>
        <v>55274</v>
      </c>
      <c r="C309" s="32">
        <f>IF(A309="",0,IF(G308&lt;=0,0,MIN('Mortgage Setup'!B21,G308*(1+'Mortgage Setup'!B9/12))))</f>
        <v>1816.07</v>
      </c>
      <c r="D309" s="32">
        <f>IF(A309="",0,IF(G308&lt;=0,0,MIN(C309-E309,G308)))</f>
        <v>1776.75</v>
      </c>
      <c r="E309" s="32">
        <f>IF(A309="",0,IF(G308&lt;=0,0,ROUND(G308*('Mortgage Setup'!B9/12),2)))</f>
        <v>39.32</v>
      </c>
      <c r="F309" s="32">
        <f>IF(A309="",0,IF(G308&lt;=0,0,MIN('Mortgage Setup'!B12,MAX(G308-D309,0))))</f>
        <v>100</v>
      </c>
      <c r="G309" s="32">
        <f>IF(A309="",0,MAX(G308-D309-F309,0))</f>
        <v>5113.65</v>
      </c>
      <c r="H309" s="32">
        <f>IF(A309="",0,H308+E309)</f>
        <v>309515.0000000003</v>
      </c>
    </row>
    <row r="310" ht="26" customHeight="1" spans="1:8" x14ac:dyDescent="0.25">
      <c r="A310" s="33">
        <f>IF(G309&gt;0,306,"")</f>
        <v>306</v>
      </c>
      <c r="B310" s="34">
        <f>IF(A310="","",DATE(YEAR('Mortgage Setup'!B11),MONTH('Mortgage Setup'!B11)+305,DAY('Mortgage Setup'!B11)))</f>
        <v>55305</v>
      </c>
      <c r="C310" s="35">
        <f>IF(A310="",0,IF(G309&lt;=0,0,MIN('Mortgage Setup'!B21,G309*(1+'Mortgage Setup'!B9/12))))</f>
        <v>1816.07</v>
      </c>
      <c r="D310" s="35">
        <f>IF(A310="",0,IF(G309&lt;=0,0,MIN(C310-E310,G309)))</f>
        <v>1787.31</v>
      </c>
      <c r="E310" s="35">
        <f>IF(A310="",0,IF(G309&lt;=0,0,ROUND(G309*('Mortgage Setup'!B9/12),2)))</f>
        <v>28.76</v>
      </c>
      <c r="F310" s="35">
        <f>IF(A310="",0,IF(G309&lt;=0,0,MIN('Mortgage Setup'!B12,MAX(G309-D310,0))))</f>
        <v>100</v>
      </c>
      <c r="G310" s="35">
        <f>IF(A310="",0,MAX(G309-D310-F310,0))</f>
        <v>3226.34</v>
      </c>
      <c r="H310" s="35">
        <f>IF(A310="",0,H309+E310)</f>
        <v>309543.7600000003</v>
      </c>
    </row>
    <row r="311" ht="26" customHeight="1" spans="1:8" x14ac:dyDescent="0.25">
      <c r="A311" s="30">
        <f>IF(G310&gt;0,307,"")</f>
        <v>307</v>
      </c>
      <c r="B311" s="31">
        <f>IF(A311="","",DATE(YEAR('Mortgage Setup'!B11),MONTH('Mortgage Setup'!B11)+306,DAY('Mortgage Setup'!B11)))</f>
        <v>55335</v>
      </c>
      <c r="C311" s="32">
        <f>IF(A311="",0,IF(G310&lt;=0,0,MIN('Mortgage Setup'!B21,G310*(1+'Mortgage Setup'!B9/12))))</f>
        <v>1816.07</v>
      </c>
      <c r="D311" s="32">
        <f>IF(A311="",0,IF(G310&lt;=0,0,MIN(C311-E311,G310)))</f>
        <v>1797.92</v>
      </c>
      <c r="E311" s="32">
        <f>IF(A311="",0,IF(G310&lt;=0,0,ROUND(G310*('Mortgage Setup'!B9/12),2)))</f>
        <v>18.15</v>
      </c>
      <c r="F311" s="32">
        <f>IF(A311="",0,IF(G310&lt;=0,0,MIN('Mortgage Setup'!B12,MAX(G310-D311,0))))</f>
        <v>100</v>
      </c>
      <c r="G311" s="32">
        <f>IF(A311="",0,MAX(G310-D311-F311,0))</f>
        <v>1328.42</v>
      </c>
      <c r="H311" s="32">
        <f>IF(A311="",0,H310+E311)</f>
        <v>309561.9100000003</v>
      </c>
    </row>
    <row r="312" ht="26" customHeight="1" spans="1:8" x14ac:dyDescent="0.25">
      <c r="A312" s="33">
        <f>IF(G311&gt;0,308,"")</f>
        <v>308</v>
      </c>
      <c r="B312" s="34">
        <f>IF(A312="","",DATE(YEAR('Mortgage Setup'!B11),MONTH('Mortgage Setup'!B11)+307,DAY('Mortgage Setup'!B11)))</f>
        <v>55366</v>
      </c>
      <c r="C312" s="35">
        <f>IF(A312="",0,IF(G311&lt;=0,0,MIN('Mortgage Setup'!B21,G311*(1+'Mortgage Setup'!B9/12))))</f>
        <v>1816.07</v>
      </c>
      <c r="D312" s="35">
        <f>IF(A312="",0,IF(G311&lt;=0,0,MIN(C312-E312,G311)))</f>
        <v>1328.42</v>
      </c>
      <c r="E312" s="35">
        <f>IF(A312="",0,IF(G311&lt;=0,0,ROUND(G311*('Mortgage Setup'!B9/12),2)))</f>
        <v>7.47</v>
      </c>
      <c r="F312" s="35">
        <f>IF(A312="",0,IF(G311&lt;=0,0,MIN('Mortgage Setup'!B12,MAX(G311-D312,0))))</f>
        <v>0</v>
      </c>
      <c r="G312" s="35">
        <f>IF(A312="",0,MAX(G311-D312-F312,0))</f>
        <v>0</v>
      </c>
      <c r="H312" s="35">
        <f>IF(A312="",0,H311+E312)</f>
        <v>309569.3800000003</v>
      </c>
    </row>
    <row r="313" ht="26" customHeight="1" spans="1:8" x14ac:dyDescent="0.25">
      <c r="A313" s="30" t="str">
        <f>IF(G312&gt;0,309,"")</f>
        <v/>
      </c>
      <c r="B313" s="31" t="str">
        <f>IF(A313="","",DATE(YEAR('Mortgage Setup'!B11),MONTH('Mortgage Setup'!B11)+308,DAY('Mortgage Setup'!B11)))</f>
        <v/>
      </c>
      <c r="C313" s="32">
        <f>IF(A313="",0,IF(G312&lt;=0,0,MIN('Mortgage Setup'!B21,G312*(1+'Mortgage Setup'!B9/12))))</f>
        <v>0</v>
      </c>
      <c r="D313" s="32">
        <f>IF(A313="",0,IF(G312&lt;=0,0,MIN(C313-E313,G312)))</f>
        <v>0</v>
      </c>
      <c r="E313" s="32">
        <f>IF(A313="",0,IF(G312&lt;=0,0,ROUND(G312*('Mortgage Setup'!B9/12),2)))</f>
        <v>0</v>
      </c>
      <c r="F313" s="32">
        <f>IF(A313="",0,IF(G312&lt;=0,0,MIN('Mortgage Setup'!B12,MAX(G312-D313,0))))</f>
        <v>0</v>
      </c>
      <c r="G313" s="32">
        <f>IF(A313="",0,MAX(G312-D313-F313,0))</f>
        <v>0</v>
      </c>
      <c r="H313" s="32">
        <f>IF(A313="",0,H312+E313)</f>
        <v>309569.3800000003</v>
      </c>
    </row>
    <row r="314" ht="26" customHeight="1" spans="1:8" x14ac:dyDescent="0.25">
      <c r="A314" s="33" t="str">
        <f>IF(G313&gt;0,310,"")</f>
        <v/>
      </c>
      <c r="B314" s="34" t="str">
        <f>IF(A314="","",DATE(YEAR('Mortgage Setup'!B11),MONTH('Mortgage Setup'!B11)+309,DAY('Mortgage Setup'!B11)))</f>
        <v/>
      </c>
      <c r="C314" s="35">
        <f>IF(A314="",0,IF(G313&lt;=0,0,MIN('Mortgage Setup'!B21,G313*(1+'Mortgage Setup'!B9/12))))</f>
        <v>0</v>
      </c>
      <c r="D314" s="35">
        <f>IF(A314="",0,IF(G313&lt;=0,0,MIN(C314-E314,G313)))</f>
        <v>0</v>
      </c>
      <c r="E314" s="35">
        <f>IF(A314="",0,IF(G313&lt;=0,0,ROUND(G313*('Mortgage Setup'!B9/12),2)))</f>
        <v>0</v>
      </c>
      <c r="F314" s="35">
        <f>IF(A314="",0,IF(G313&lt;=0,0,MIN('Mortgage Setup'!B12,MAX(G313-D314,0))))</f>
        <v>0</v>
      </c>
      <c r="G314" s="35">
        <f>IF(A314="",0,MAX(G313-D314-F314,0))</f>
        <v>0</v>
      </c>
      <c r="H314" s="35">
        <f>IF(A314="",0,H313+E314)</f>
        <v>309569.3800000003</v>
      </c>
    </row>
    <row r="315" ht="26" customHeight="1" spans="1:8" x14ac:dyDescent="0.25">
      <c r="A315" s="30" t="str">
        <f>IF(G314&gt;0,311,"")</f>
        <v/>
      </c>
      <c r="B315" s="31" t="str">
        <f>IF(A315="","",DATE(YEAR('Mortgage Setup'!B11),MONTH('Mortgage Setup'!B11)+310,DAY('Mortgage Setup'!B11)))</f>
        <v/>
      </c>
      <c r="C315" s="32">
        <f>IF(A315="",0,IF(G314&lt;=0,0,MIN('Mortgage Setup'!B21,G314*(1+'Mortgage Setup'!B9/12))))</f>
        <v>0</v>
      </c>
      <c r="D315" s="32">
        <f>IF(A315="",0,IF(G314&lt;=0,0,MIN(C315-E315,G314)))</f>
        <v>0</v>
      </c>
      <c r="E315" s="32">
        <f>IF(A315="",0,IF(G314&lt;=0,0,ROUND(G314*('Mortgage Setup'!B9/12),2)))</f>
        <v>0</v>
      </c>
      <c r="F315" s="32">
        <f>IF(A315="",0,IF(G314&lt;=0,0,MIN('Mortgage Setup'!B12,MAX(G314-D315,0))))</f>
        <v>0</v>
      </c>
      <c r="G315" s="32">
        <f>IF(A315="",0,MAX(G314-D315-F315,0))</f>
        <v>0</v>
      </c>
      <c r="H315" s="32">
        <f>IF(A315="",0,H314+E315)</f>
        <v>309569.3800000003</v>
      </c>
    </row>
    <row r="316" ht="26" customHeight="1" spans="1:8" x14ac:dyDescent="0.25">
      <c r="A316" s="33" t="str">
        <f>IF(G315&gt;0,312,"")</f>
        <v/>
      </c>
      <c r="B316" s="34" t="str">
        <f>IF(A316="","",DATE(YEAR('Mortgage Setup'!B11),MONTH('Mortgage Setup'!B11)+311,DAY('Mortgage Setup'!B11)))</f>
        <v/>
      </c>
      <c r="C316" s="35">
        <f>IF(A316="",0,IF(G315&lt;=0,0,MIN('Mortgage Setup'!B21,G315*(1+'Mortgage Setup'!B9/12))))</f>
        <v>0</v>
      </c>
      <c r="D316" s="35">
        <f>IF(A316="",0,IF(G315&lt;=0,0,MIN(C316-E316,G315)))</f>
        <v>0</v>
      </c>
      <c r="E316" s="35">
        <f>IF(A316="",0,IF(G315&lt;=0,0,ROUND(G315*('Mortgage Setup'!B9/12),2)))</f>
        <v>0</v>
      </c>
      <c r="F316" s="35">
        <f>IF(A316="",0,IF(G315&lt;=0,0,MIN('Mortgage Setup'!B12,MAX(G315-D316,0))))</f>
        <v>0</v>
      </c>
      <c r="G316" s="35">
        <f>IF(A316="",0,MAX(G315-D316-F316,0))</f>
        <v>0</v>
      </c>
      <c r="H316" s="35">
        <f>IF(A316="",0,H315+E316)</f>
        <v>309569.3800000003</v>
      </c>
    </row>
    <row r="317" ht="26" customHeight="1" spans="1:8" x14ac:dyDescent="0.25">
      <c r="A317" s="30" t="str">
        <f>IF(G316&gt;0,313,"")</f>
        <v/>
      </c>
      <c r="B317" s="31" t="str">
        <f>IF(A317="","",DATE(YEAR('Mortgage Setup'!B11),MONTH('Mortgage Setup'!B11)+312,DAY('Mortgage Setup'!B11)))</f>
        <v/>
      </c>
      <c r="C317" s="32">
        <f>IF(A317="",0,IF(G316&lt;=0,0,MIN('Mortgage Setup'!B21,G316*(1+'Mortgage Setup'!B9/12))))</f>
        <v>0</v>
      </c>
      <c r="D317" s="32">
        <f>IF(A317="",0,IF(G316&lt;=0,0,MIN(C317-E317,G316)))</f>
        <v>0</v>
      </c>
      <c r="E317" s="32">
        <f>IF(A317="",0,IF(G316&lt;=0,0,ROUND(G316*('Mortgage Setup'!B9/12),2)))</f>
        <v>0</v>
      </c>
      <c r="F317" s="32">
        <f>IF(A317="",0,IF(G316&lt;=0,0,MIN('Mortgage Setup'!B12,MAX(G316-D317,0))))</f>
        <v>0</v>
      </c>
      <c r="G317" s="32">
        <f>IF(A317="",0,MAX(G316-D317-F317,0))</f>
        <v>0</v>
      </c>
      <c r="H317" s="32">
        <f>IF(A317="",0,H316+E317)</f>
        <v>309569.3800000003</v>
      </c>
    </row>
    <row r="318" ht="26" customHeight="1" spans="1:8" x14ac:dyDescent="0.25">
      <c r="A318" s="33" t="str">
        <f>IF(G317&gt;0,314,"")</f>
        <v/>
      </c>
      <c r="B318" s="34" t="str">
        <f>IF(A318="","",DATE(YEAR('Mortgage Setup'!B11),MONTH('Mortgage Setup'!B11)+313,DAY('Mortgage Setup'!B11)))</f>
        <v/>
      </c>
      <c r="C318" s="35">
        <f>IF(A318="",0,IF(G317&lt;=0,0,MIN('Mortgage Setup'!B21,G317*(1+'Mortgage Setup'!B9/12))))</f>
        <v>0</v>
      </c>
      <c r="D318" s="35">
        <f>IF(A318="",0,IF(G317&lt;=0,0,MIN(C318-E318,G317)))</f>
        <v>0</v>
      </c>
      <c r="E318" s="35">
        <f>IF(A318="",0,IF(G317&lt;=0,0,ROUND(G317*('Mortgage Setup'!B9/12),2)))</f>
        <v>0</v>
      </c>
      <c r="F318" s="35">
        <f>IF(A318="",0,IF(G317&lt;=0,0,MIN('Mortgage Setup'!B12,MAX(G317-D318,0))))</f>
        <v>0</v>
      </c>
      <c r="G318" s="35">
        <f>IF(A318="",0,MAX(G317-D318-F318,0))</f>
        <v>0</v>
      </c>
      <c r="H318" s="35">
        <f>IF(A318="",0,H317+E318)</f>
        <v>309569.3800000003</v>
      </c>
    </row>
    <row r="319" ht="26" customHeight="1" spans="1:8" x14ac:dyDescent="0.25">
      <c r="A319" s="30" t="str">
        <f>IF(G318&gt;0,315,"")</f>
        <v/>
      </c>
      <c r="B319" s="31" t="str">
        <f>IF(A319="","",DATE(YEAR('Mortgage Setup'!B11),MONTH('Mortgage Setup'!B11)+314,DAY('Mortgage Setup'!B11)))</f>
        <v/>
      </c>
      <c r="C319" s="32">
        <f>IF(A319="",0,IF(G318&lt;=0,0,MIN('Mortgage Setup'!B21,G318*(1+'Mortgage Setup'!B9/12))))</f>
        <v>0</v>
      </c>
      <c r="D319" s="32">
        <f>IF(A319="",0,IF(G318&lt;=0,0,MIN(C319-E319,G318)))</f>
        <v>0</v>
      </c>
      <c r="E319" s="32">
        <f>IF(A319="",0,IF(G318&lt;=0,0,ROUND(G318*('Mortgage Setup'!B9/12),2)))</f>
        <v>0</v>
      </c>
      <c r="F319" s="32">
        <f>IF(A319="",0,IF(G318&lt;=0,0,MIN('Mortgage Setup'!B12,MAX(G318-D319,0))))</f>
        <v>0</v>
      </c>
      <c r="G319" s="32">
        <f>IF(A319="",0,MAX(G318-D319-F319,0))</f>
        <v>0</v>
      </c>
      <c r="H319" s="32">
        <f>IF(A319="",0,H318+E319)</f>
        <v>309569.3800000003</v>
      </c>
    </row>
    <row r="320" ht="26" customHeight="1" spans="1:8" x14ac:dyDescent="0.25">
      <c r="A320" s="33" t="str">
        <f>IF(G319&gt;0,316,"")</f>
        <v/>
      </c>
      <c r="B320" s="34" t="str">
        <f>IF(A320="","",DATE(YEAR('Mortgage Setup'!B11),MONTH('Mortgage Setup'!B11)+315,DAY('Mortgage Setup'!B11)))</f>
        <v/>
      </c>
      <c r="C320" s="35">
        <f>IF(A320="",0,IF(G319&lt;=0,0,MIN('Mortgage Setup'!B21,G319*(1+'Mortgage Setup'!B9/12))))</f>
        <v>0</v>
      </c>
      <c r="D320" s="35">
        <f>IF(A320="",0,IF(G319&lt;=0,0,MIN(C320-E320,G319)))</f>
        <v>0</v>
      </c>
      <c r="E320" s="35">
        <f>IF(A320="",0,IF(G319&lt;=0,0,ROUND(G319*('Mortgage Setup'!B9/12),2)))</f>
        <v>0</v>
      </c>
      <c r="F320" s="35">
        <f>IF(A320="",0,IF(G319&lt;=0,0,MIN('Mortgage Setup'!B12,MAX(G319-D320,0))))</f>
        <v>0</v>
      </c>
      <c r="G320" s="35">
        <f>IF(A320="",0,MAX(G319-D320-F320,0))</f>
        <v>0</v>
      </c>
      <c r="H320" s="35">
        <f>IF(A320="",0,H319+E320)</f>
        <v>309569.3800000003</v>
      </c>
    </row>
    <row r="321" ht="26" customHeight="1" spans="1:8" x14ac:dyDescent="0.25">
      <c r="A321" s="30" t="str">
        <f>IF(G320&gt;0,317,"")</f>
        <v/>
      </c>
      <c r="B321" s="31" t="str">
        <f>IF(A321="","",DATE(YEAR('Mortgage Setup'!B11),MONTH('Mortgage Setup'!B11)+316,DAY('Mortgage Setup'!B11)))</f>
        <v/>
      </c>
      <c r="C321" s="32">
        <f>IF(A321="",0,IF(G320&lt;=0,0,MIN('Mortgage Setup'!B21,G320*(1+'Mortgage Setup'!B9/12))))</f>
        <v>0</v>
      </c>
      <c r="D321" s="32">
        <f>IF(A321="",0,IF(G320&lt;=0,0,MIN(C321-E321,G320)))</f>
        <v>0</v>
      </c>
      <c r="E321" s="32">
        <f>IF(A321="",0,IF(G320&lt;=0,0,ROUND(G320*('Mortgage Setup'!B9/12),2)))</f>
        <v>0</v>
      </c>
      <c r="F321" s="32">
        <f>IF(A321="",0,IF(G320&lt;=0,0,MIN('Mortgage Setup'!B12,MAX(G320-D321,0))))</f>
        <v>0</v>
      </c>
      <c r="G321" s="32">
        <f>IF(A321="",0,MAX(G320-D321-F321,0))</f>
        <v>0</v>
      </c>
      <c r="H321" s="32">
        <f>IF(A321="",0,H320+E321)</f>
        <v>309569.3800000003</v>
      </c>
    </row>
    <row r="322" ht="26" customHeight="1" spans="1:8" x14ac:dyDescent="0.25">
      <c r="A322" s="33" t="str">
        <f>IF(G321&gt;0,318,"")</f>
        <v/>
      </c>
      <c r="B322" s="34" t="str">
        <f>IF(A322="","",DATE(YEAR('Mortgage Setup'!B11),MONTH('Mortgage Setup'!B11)+317,DAY('Mortgage Setup'!B11)))</f>
        <v/>
      </c>
      <c r="C322" s="35">
        <f>IF(A322="",0,IF(G321&lt;=0,0,MIN('Mortgage Setup'!B21,G321*(1+'Mortgage Setup'!B9/12))))</f>
        <v>0</v>
      </c>
      <c r="D322" s="35">
        <f>IF(A322="",0,IF(G321&lt;=0,0,MIN(C322-E322,G321)))</f>
        <v>0</v>
      </c>
      <c r="E322" s="35">
        <f>IF(A322="",0,IF(G321&lt;=0,0,ROUND(G321*('Mortgage Setup'!B9/12),2)))</f>
        <v>0</v>
      </c>
      <c r="F322" s="35">
        <f>IF(A322="",0,IF(G321&lt;=0,0,MIN('Mortgage Setup'!B12,MAX(G321-D322,0))))</f>
        <v>0</v>
      </c>
      <c r="G322" s="35">
        <f>IF(A322="",0,MAX(G321-D322-F322,0))</f>
        <v>0</v>
      </c>
      <c r="H322" s="35">
        <f>IF(A322="",0,H321+E322)</f>
        <v>309569.3800000003</v>
      </c>
    </row>
    <row r="323" ht="26" customHeight="1" spans="1:8" x14ac:dyDescent="0.25">
      <c r="A323" s="30" t="str">
        <f>IF(G322&gt;0,319,"")</f>
        <v/>
      </c>
      <c r="B323" s="31" t="str">
        <f>IF(A323="","",DATE(YEAR('Mortgage Setup'!B11),MONTH('Mortgage Setup'!B11)+318,DAY('Mortgage Setup'!B11)))</f>
        <v/>
      </c>
      <c r="C323" s="32">
        <f>IF(A323="",0,IF(G322&lt;=0,0,MIN('Mortgage Setup'!B21,G322*(1+'Mortgage Setup'!B9/12))))</f>
        <v>0</v>
      </c>
      <c r="D323" s="32">
        <f>IF(A323="",0,IF(G322&lt;=0,0,MIN(C323-E323,G322)))</f>
        <v>0</v>
      </c>
      <c r="E323" s="32">
        <f>IF(A323="",0,IF(G322&lt;=0,0,ROUND(G322*('Mortgage Setup'!B9/12),2)))</f>
        <v>0</v>
      </c>
      <c r="F323" s="32">
        <f>IF(A323="",0,IF(G322&lt;=0,0,MIN('Mortgage Setup'!B12,MAX(G322-D323,0))))</f>
        <v>0</v>
      </c>
      <c r="G323" s="32">
        <f>IF(A323="",0,MAX(G322-D323-F323,0))</f>
        <v>0</v>
      </c>
      <c r="H323" s="32">
        <f>IF(A323="",0,H322+E323)</f>
        <v>309569.3800000003</v>
      </c>
    </row>
    <row r="324" ht="26" customHeight="1" spans="1:8" x14ac:dyDescent="0.25">
      <c r="A324" s="33" t="str">
        <f>IF(G323&gt;0,320,"")</f>
        <v/>
      </c>
      <c r="B324" s="34" t="str">
        <f>IF(A324="","",DATE(YEAR('Mortgage Setup'!B11),MONTH('Mortgage Setup'!B11)+319,DAY('Mortgage Setup'!B11)))</f>
        <v/>
      </c>
      <c r="C324" s="35">
        <f>IF(A324="",0,IF(G323&lt;=0,0,MIN('Mortgage Setup'!B21,G323*(1+'Mortgage Setup'!B9/12))))</f>
        <v>0</v>
      </c>
      <c r="D324" s="35">
        <f>IF(A324="",0,IF(G323&lt;=0,0,MIN(C324-E324,G323)))</f>
        <v>0</v>
      </c>
      <c r="E324" s="35">
        <f>IF(A324="",0,IF(G323&lt;=0,0,ROUND(G323*('Mortgage Setup'!B9/12),2)))</f>
        <v>0</v>
      </c>
      <c r="F324" s="35">
        <f>IF(A324="",0,IF(G323&lt;=0,0,MIN('Mortgage Setup'!B12,MAX(G323-D324,0))))</f>
        <v>0</v>
      </c>
      <c r="G324" s="35">
        <f>IF(A324="",0,MAX(G323-D324-F324,0))</f>
        <v>0</v>
      </c>
      <c r="H324" s="35">
        <f>IF(A324="",0,H323+E324)</f>
        <v>309569.3800000003</v>
      </c>
    </row>
    <row r="325" ht="26" customHeight="1" spans="1:8" x14ac:dyDescent="0.25">
      <c r="A325" s="30" t="str">
        <f>IF(G324&gt;0,321,"")</f>
        <v/>
      </c>
      <c r="B325" s="31" t="str">
        <f>IF(A325="","",DATE(YEAR('Mortgage Setup'!B11),MONTH('Mortgage Setup'!B11)+320,DAY('Mortgage Setup'!B11)))</f>
        <v/>
      </c>
      <c r="C325" s="32">
        <f>IF(A325="",0,IF(G324&lt;=0,0,MIN('Mortgage Setup'!B21,G324*(1+'Mortgage Setup'!B9/12))))</f>
        <v>0</v>
      </c>
      <c r="D325" s="32">
        <f>IF(A325="",0,IF(G324&lt;=0,0,MIN(C325-E325,G324)))</f>
        <v>0</v>
      </c>
      <c r="E325" s="32">
        <f>IF(A325="",0,IF(G324&lt;=0,0,ROUND(G324*('Mortgage Setup'!B9/12),2)))</f>
        <v>0</v>
      </c>
      <c r="F325" s="32">
        <f>IF(A325="",0,IF(G324&lt;=0,0,MIN('Mortgage Setup'!B12,MAX(G324-D325,0))))</f>
        <v>0</v>
      </c>
      <c r="G325" s="32">
        <f>IF(A325="",0,MAX(G324-D325-F325,0))</f>
        <v>0</v>
      </c>
      <c r="H325" s="32">
        <f>IF(A325="",0,H324+E325)</f>
        <v>309569.3800000003</v>
      </c>
    </row>
    <row r="326" ht="26" customHeight="1" spans="1:8" x14ac:dyDescent="0.25">
      <c r="A326" s="33" t="str">
        <f>IF(G325&gt;0,322,"")</f>
        <v/>
      </c>
      <c r="B326" s="34" t="str">
        <f>IF(A326="","",DATE(YEAR('Mortgage Setup'!B11),MONTH('Mortgage Setup'!B11)+321,DAY('Mortgage Setup'!B11)))</f>
        <v/>
      </c>
      <c r="C326" s="35">
        <f>IF(A326="",0,IF(G325&lt;=0,0,MIN('Mortgage Setup'!B21,G325*(1+'Mortgage Setup'!B9/12))))</f>
        <v>0</v>
      </c>
      <c r="D326" s="35">
        <f>IF(A326="",0,IF(G325&lt;=0,0,MIN(C326-E326,G325)))</f>
        <v>0</v>
      </c>
      <c r="E326" s="35">
        <f>IF(A326="",0,IF(G325&lt;=0,0,ROUND(G325*('Mortgage Setup'!B9/12),2)))</f>
        <v>0</v>
      </c>
      <c r="F326" s="35">
        <f>IF(A326="",0,IF(G325&lt;=0,0,MIN('Mortgage Setup'!B12,MAX(G325-D326,0))))</f>
        <v>0</v>
      </c>
      <c r="G326" s="35">
        <f>IF(A326="",0,MAX(G325-D326-F326,0))</f>
        <v>0</v>
      </c>
      <c r="H326" s="35">
        <f>IF(A326="",0,H325+E326)</f>
        <v>309569.3800000003</v>
      </c>
    </row>
    <row r="327" ht="26" customHeight="1" spans="1:8" x14ac:dyDescent="0.25">
      <c r="A327" s="30" t="str">
        <f>IF(G326&gt;0,323,"")</f>
        <v/>
      </c>
      <c r="B327" s="31" t="str">
        <f>IF(A327="","",DATE(YEAR('Mortgage Setup'!B11),MONTH('Mortgage Setup'!B11)+322,DAY('Mortgage Setup'!B11)))</f>
        <v/>
      </c>
      <c r="C327" s="32">
        <f>IF(A327="",0,IF(G326&lt;=0,0,MIN('Mortgage Setup'!B21,G326*(1+'Mortgage Setup'!B9/12))))</f>
        <v>0</v>
      </c>
      <c r="D327" s="32">
        <f>IF(A327="",0,IF(G326&lt;=0,0,MIN(C327-E327,G326)))</f>
        <v>0</v>
      </c>
      <c r="E327" s="32">
        <f>IF(A327="",0,IF(G326&lt;=0,0,ROUND(G326*('Mortgage Setup'!B9/12),2)))</f>
        <v>0</v>
      </c>
      <c r="F327" s="32">
        <f>IF(A327="",0,IF(G326&lt;=0,0,MIN('Mortgage Setup'!B12,MAX(G326-D327,0))))</f>
        <v>0</v>
      </c>
      <c r="G327" s="32">
        <f>IF(A327="",0,MAX(G326-D327-F327,0))</f>
        <v>0</v>
      </c>
      <c r="H327" s="32">
        <f>IF(A327="",0,H326+E327)</f>
        <v>309569.3800000003</v>
      </c>
    </row>
    <row r="328" ht="26" customHeight="1" spans="1:8" x14ac:dyDescent="0.25">
      <c r="A328" s="33" t="str">
        <f>IF(G327&gt;0,324,"")</f>
        <v/>
      </c>
      <c r="B328" s="34" t="str">
        <f>IF(A328="","",DATE(YEAR('Mortgage Setup'!B11),MONTH('Mortgage Setup'!B11)+323,DAY('Mortgage Setup'!B11)))</f>
        <v/>
      </c>
      <c r="C328" s="35">
        <f>IF(A328="",0,IF(G327&lt;=0,0,MIN('Mortgage Setup'!B21,G327*(1+'Mortgage Setup'!B9/12))))</f>
        <v>0</v>
      </c>
      <c r="D328" s="35">
        <f>IF(A328="",0,IF(G327&lt;=0,0,MIN(C328-E328,G327)))</f>
        <v>0</v>
      </c>
      <c r="E328" s="35">
        <f>IF(A328="",0,IF(G327&lt;=0,0,ROUND(G327*('Mortgage Setup'!B9/12),2)))</f>
        <v>0</v>
      </c>
      <c r="F328" s="35">
        <f>IF(A328="",0,IF(G327&lt;=0,0,MIN('Mortgage Setup'!B12,MAX(G327-D328,0))))</f>
        <v>0</v>
      </c>
      <c r="G328" s="35">
        <f>IF(A328="",0,MAX(G327-D328-F328,0))</f>
        <v>0</v>
      </c>
      <c r="H328" s="35">
        <f>IF(A328="",0,H327+E328)</f>
        <v>309569.3800000003</v>
      </c>
    </row>
    <row r="329" ht="26" customHeight="1" spans="1:8" x14ac:dyDescent="0.25">
      <c r="A329" s="30" t="str">
        <f>IF(G328&gt;0,325,"")</f>
        <v/>
      </c>
      <c r="B329" s="31" t="str">
        <f>IF(A329="","",DATE(YEAR('Mortgage Setup'!B11),MONTH('Mortgage Setup'!B11)+324,DAY('Mortgage Setup'!B11)))</f>
        <v/>
      </c>
      <c r="C329" s="32">
        <f>IF(A329="",0,IF(G328&lt;=0,0,MIN('Mortgage Setup'!B21,G328*(1+'Mortgage Setup'!B9/12))))</f>
        <v>0</v>
      </c>
      <c r="D329" s="32">
        <f>IF(A329="",0,IF(G328&lt;=0,0,MIN(C329-E329,G328)))</f>
        <v>0</v>
      </c>
      <c r="E329" s="32">
        <f>IF(A329="",0,IF(G328&lt;=0,0,ROUND(G328*('Mortgage Setup'!B9/12),2)))</f>
        <v>0</v>
      </c>
      <c r="F329" s="32">
        <f>IF(A329="",0,IF(G328&lt;=0,0,MIN('Mortgage Setup'!B12,MAX(G328-D329,0))))</f>
        <v>0</v>
      </c>
      <c r="G329" s="32">
        <f>IF(A329="",0,MAX(G328-D329-F329,0))</f>
        <v>0</v>
      </c>
      <c r="H329" s="32">
        <f>IF(A329="",0,H328+E329)</f>
        <v>309569.3800000003</v>
      </c>
    </row>
    <row r="330" ht="26" customHeight="1" spans="1:8" x14ac:dyDescent="0.25">
      <c r="A330" s="33" t="str">
        <f>IF(G329&gt;0,326,"")</f>
        <v/>
      </c>
      <c r="B330" s="34" t="str">
        <f>IF(A330="","",DATE(YEAR('Mortgage Setup'!B11),MONTH('Mortgage Setup'!B11)+325,DAY('Mortgage Setup'!B11)))</f>
        <v/>
      </c>
      <c r="C330" s="35">
        <f>IF(A330="",0,IF(G329&lt;=0,0,MIN('Mortgage Setup'!B21,G329*(1+'Mortgage Setup'!B9/12))))</f>
        <v>0</v>
      </c>
      <c r="D330" s="35">
        <f>IF(A330="",0,IF(G329&lt;=0,0,MIN(C330-E330,G329)))</f>
        <v>0</v>
      </c>
      <c r="E330" s="35">
        <f>IF(A330="",0,IF(G329&lt;=0,0,ROUND(G329*('Mortgage Setup'!B9/12),2)))</f>
        <v>0</v>
      </c>
      <c r="F330" s="35">
        <f>IF(A330="",0,IF(G329&lt;=0,0,MIN('Mortgage Setup'!B12,MAX(G329-D330,0))))</f>
        <v>0</v>
      </c>
      <c r="G330" s="35">
        <f>IF(A330="",0,MAX(G329-D330-F330,0))</f>
        <v>0</v>
      </c>
      <c r="H330" s="35">
        <f>IF(A330="",0,H329+E330)</f>
        <v>309569.3800000003</v>
      </c>
    </row>
    <row r="331" ht="26" customHeight="1" spans="1:8" x14ac:dyDescent="0.25">
      <c r="A331" s="30" t="str">
        <f>IF(G330&gt;0,327,"")</f>
        <v/>
      </c>
      <c r="B331" s="31" t="str">
        <f>IF(A331="","",DATE(YEAR('Mortgage Setup'!B11),MONTH('Mortgage Setup'!B11)+326,DAY('Mortgage Setup'!B11)))</f>
        <v/>
      </c>
      <c r="C331" s="32">
        <f>IF(A331="",0,IF(G330&lt;=0,0,MIN('Mortgage Setup'!B21,G330*(1+'Mortgage Setup'!B9/12))))</f>
        <v>0</v>
      </c>
      <c r="D331" s="32">
        <f>IF(A331="",0,IF(G330&lt;=0,0,MIN(C331-E331,G330)))</f>
        <v>0</v>
      </c>
      <c r="E331" s="32">
        <f>IF(A331="",0,IF(G330&lt;=0,0,ROUND(G330*('Mortgage Setup'!B9/12),2)))</f>
        <v>0</v>
      </c>
      <c r="F331" s="32">
        <f>IF(A331="",0,IF(G330&lt;=0,0,MIN('Mortgage Setup'!B12,MAX(G330-D331,0))))</f>
        <v>0</v>
      </c>
      <c r="G331" s="32">
        <f>IF(A331="",0,MAX(G330-D331-F331,0))</f>
        <v>0</v>
      </c>
      <c r="H331" s="32">
        <f>IF(A331="",0,H330+E331)</f>
        <v>309569.3800000003</v>
      </c>
    </row>
    <row r="332" ht="26" customHeight="1" spans="1:8" x14ac:dyDescent="0.25">
      <c r="A332" s="33" t="str">
        <f>IF(G331&gt;0,328,"")</f>
        <v/>
      </c>
      <c r="B332" s="34" t="str">
        <f>IF(A332="","",DATE(YEAR('Mortgage Setup'!B11),MONTH('Mortgage Setup'!B11)+327,DAY('Mortgage Setup'!B11)))</f>
        <v/>
      </c>
      <c r="C332" s="35">
        <f>IF(A332="",0,IF(G331&lt;=0,0,MIN('Mortgage Setup'!B21,G331*(1+'Mortgage Setup'!B9/12))))</f>
        <v>0</v>
      </c>
      <c r="D332" s="35">
        <f>IF(A332="",0,IF(G331&lt;=0,0,MIN(C332-E332,G331)))</f>
        <v>0</v>
      </c>
      <c r="E332" s="35">
        <f>IF(A332="",0,IF(G331&lt;=0,0,ROUND(G331*('Mortgage Setup'!B9/12),2)))</f>
        <v>0</v>
      </c>
      <c r="F332" s="35">
        <f>IF(A332="",0,IF(G331&lt;=0,0,MIN('Mortgage Setup'!B12,MAX(G331-D332,0))))</f>
        <v>0</v>
      </c>
      <c r="G332" s="35">
        <f>IF(A332="",0,MAX(G331-D332-F332,0))</f>
        <v>0</v>
      </c>
      <c r="H332" s="35">
        <f>IF(A332="",0,H331+E332)</f>
        <v>309569.3800000003</v>
      </c>
    </row>
    <row r="333" ht="26" customHeight="1" spans="1:8" x14ac:dyDescent="0.25">
      <c r="A333" s="30" t="str">
        <f>IF(G332&gt;0,329,"")</f>
        <v/>
      </c>
      <c r="B333" s="31" t="str">
        <f>IF(A333="","",DATE(YEAR('Mortgage Setup'!B11),MONTH('Mortgage Setup'!B11)+328,DAY('Mortgage Setup'!B11)))</f>
        <v/>
      </c>
      <c r="C333" s="32">
        <f>IF(A333="",0,IF(G332&lt;=0,0,MIN('Mortgage Setup'!B21,G332*(1+'Mortgage Setup'!B9/12))))</f>
        <v>0</v>
      </c>
      <c r="D333" s="32">
        <f>IF(A333="",0,IF(G332&lt;=0,0,MIN(C333-E333,G332)))</f>
        <v>0</v>
      </c>
      <c r="E333" s="32">
        <f>IF(A333="",0,IF(G332&lt;=0,0,ROUND(G332*('Mortgage Setup'!B9/12),2)))</f>
        <v>0</v>
      </c>
      <c r="F333" s="32">
        <f>IF(A333="",0,IF(G332&lt;=0,0,MIN('Mortgage Setup'!B12,MAX(G332-D333,0))))</f>
        <v>0</v>
      </c>
      <c r="G333" s="32">
        <f>IF(A333="",0,MAX(G332-D333-F333,0))</f>
        <v>0</v>
      </c>
      <c r="H333" s="32">
        <f>IF(A333="",0,H332+E333)</f>
        <v>309569.3800000003</v>
      </c>
    </row>
    <row r="334" ht="26" customHeight="1" spans="1:8" x14ac:dyDescent="0.25">
      <c r="A334" s="33" t="str">
        <f>IF(G333&gt;0,330,"")</f>
        <v/>
      </c>
      <c r="B334" s="34" t="str">
        <f>IF(A334="","",DATE(YEAR('Mortgage Setup'!B11),MONTH('Mortgage Setup'!B11)+329,DAY('Mortgage Setup'!B11)))</f>
        <v/>
      </c>
      <c r="C334" s="35">
        <f>IF(A334="",0,IF(G333&lt;=0,0,MIN('Mortgage Setup'!B21,G333*(1+'Mortgage Setup'!B9/12))))</f>
        <v>0</v>
      </c>
      <c r="D334" s="35">
        <f>IF(A334="",0,IF(G333&lt;=0,0,MIN(C334-E334,G333)))</f>
        <v>0</v>
      </c>
      <c r="E334" s="35">
        <f>IF(A334="",0,IF(G333&lt;=0,0,ROUND(G333*('Mortgage Setup'!B9/12),2)))</f>
        <v>0</v>
      </c>
      <c r="F334" s="35">
        <f>IF(A334="",0,IF(G333&lt;=0,0,MIN('Mortgage Setup'!B12,MAX(G333-D334,0))))</f>
        <v>0</v>
      </c>
      <c r="G334" s="35">
        <f>IF(A334="",0,MAX(G333-D334-F334,0))</f>
        <v>0</v>
      </c>
      <c r="H334" s="35">
        <f>IF(A334="",0,H333+E334)</f>
        <v>309569.3800000003</v>
      </c>
    </row>
    <row r="335" ht="26" customHeight="1" spans="1:8" x14ac:dyDescent="0.25">
      <c r="A335" s="30" t="str">
        <f>IF(G334&gt;0,331,"")</f>
        <v/>
      </c>
      <c r="B335" s="31" t="str">
        <f>IF(A335="","",DATE(YEAR('Mortgage Setup'!B11),MONTH('Mortgage Setup'!B11)+330,DAY('Mortgage Setup'!B11)))</f>
        <v/>
      </c>
      <c r="C335" s="32">
        <f>IF(A335="",0,IF(G334&lt;=0,0,MIN('Mortgage Setup'!B21,G334*(1+'Mortgage Setup'!B9/12))))</f>
        <v>0</v>
      </c>
      <c r="D335" s="32">
        <f>IF(A335="",0,IF(G334&lt;=0,0,MIN(C335-E335,G334)))</f>
        <v>0</v>
      </c>
      <c r="E335" s="32">
        <f>IF(A335="",0,IF(G334&lt;=0,0,ROUND(G334*('Mortgage Setup'!B9/12),2)))</f>
        <v>0</v>
      </c>
      <c r="F335" s="32">
        <f>IF(A335="",0,IF(G334&lt;=0,0,MIN('Mortgage Setup'!B12,MAX(G334-D335,0))))</f>
        <v>0</v>
      </c>
      <c r="G335" s="32">
        <f>IF(A335="",0,MAX(G334-D335-F335,0))</f>
        <v>0</v>
      </c>
      <c r="H335" s="32">
        <f>IF(A335="",0,H334+E335)</f>
        <v>309569.3800000003</v>
      </c>
    </row>
    <row r="336" ht="26" customHeight="1" spans="1:8" x14ac:dyDescent="0.25">
      <c r="A336" s="33" t="str">
        <f>IF(G335&gt;0,332,"")</f>
        <v/>
      </c>
      <c r="B336" s="34" t="str">
        <f>IF(A336="","",DATE(YEAR('Mortgage Setup'!B11),MONTH('Mortgage Setup'!B11)+331,DAY('Mortgage Setup'!B11)))</f>
        <v/>
      </c>
      <c r="C336" s="35">
        <f>IF(A336="",0,IF(G335&lt;=0,0,MIN('Mortgage Setup'!B21,G335*(1+'Mortgage Setup'!B9/12))))</f>
        <v>0</v>
      </c>
      <c r="D336" s="35">
        <f>IF(A336="",0,IF(G335&lt;=0,0,MIN(C336-E336,G335)))</f>
        <v>0</v>
      </c>
      <c r="E336" s="35">
        <f>IF(A336="",0,IF(G335&lt;=0,0,ROUND(G335*('Mortgage Setup'!B9/12),2)))</f>
        <v>0</v>
      </c>
      <c r="F336" s="35">
        <f>IF(A336="",0,IF(G335&lt;=0,0,MIN('Mortgage Setup'!B12,MAX(G335-D336,0))))</f>
        <v>0</v>
      </c>
      <c r="G336" s="35">
        <f>IF(A336="",0,MAX(G335-D336-F336,0))</f>
        <v>0</v>
      </c>
      <c r="H336" s="35">
        <f>IF(A336="",0,H335+E336)</f>
        <v>309569.3800000003</v>
      </c>
    </row>
    <row r="337" ht="26" customHeight="1" spans="1:8" x14ac:dyDescent="0.25">
      <c r="A337" s="30" t="str">
        <f>IF(G336&gt;0,333,"")</f>
        <v/>
      </c>
      <c r="B337" s="31" t="str">
        <f>IF(A337="","",DATE(YEAR('Mortgage Setup'!B11),MONTH('Mortgage Setup'!B11)+332,DAY('Mortgage Setup'!B11)))</f>
        <v/>
      </c>
      <c r="C337" s="32">
        <f>IF(A337="",0,IF(G336&lt;=0,0,MIN('Mortgage Setup'!B21,G336*(1+'Mortgage Setup'!B9/12))))</f>
        <v>0</v>
      </c>
      <c r="D337" s="32">
        <f>IF(A337="",0,IF(G336&lt;=0,0,MIN(C337-E337,G336)))</f>
        <v>0</v>
      </c>
      <c r="E337" s="32">
        <f>IF(A337="",0,IF(G336&lt;=0,0,ROUND(G336*('Mortgage Setup'!B9/12),2)))</f>
        <v>0</v>
      </c>
      <c r="F337" s="32">
        <f>IF(A337="",0,IF(G336&lt;=0,0,MIN('Mortgage Setup'!B12,MAX(G336-D337,0))))</f>
        <v>0</v>
      </c>
      <c r="G337" s="32">
        <f>IF(A337="",0,MAX(G336-D337-F337,0))</f>
        <v>0</v>
      </c>
      <c r="H337" s="32">
        <f>IF(A337="",0,H336+E337)</f>
        <v>309569.3800000003</v>
      </c>
    </row>
    <row r="338" ht="26" customHeight="1" spans="1:8" x14ac:dyDescent="0.25">
      <c r="A338" s="33" t="str">
        <f>IF(G337&gt;0,334,"")</f>
        <v/>
      </c>
      <c r="B338" s="34" t="str">
        <f>IF(A338="","",DATE(YEAR('Mortgage Setup'!B11),MONTH('Mortgage Setup'!B11)+333,DAY('Mortgage Setup'!B11)))</f>
        <v/>
      </c>
      <c r="C338" s="35">
        <f>IF(A338="",0,IF(G337&lt;=0,0,MIN('Mortgage Setup'!B21,G337*(1+'Mortgage Setup'!B9/12))))</f>
        <v>0</v>
      </c>
      <c r="D338" s="35">
        <f>IF(A338="",0,IF(G337&lt;=0,0,MIN(C338-E338,G337)))</f>
        <v>0</v>
      </c>
      <c r="E338" s="35">
        <f>IF(A338="",0,IF(G337&lt;=0,0,ROUND(G337*('Mortgage Setup'!B9/12),2)))</f>
        <v>0</v>
      </c>
      <c r="F338" s="35">
        <f>IF(A338="",0,IF(G337&lt;=0,0,MIN('Mortgage Setup'!B12,MAX(G337-D338,0))))</f>
        <v>0</v>
      </c>
      <c r="G338" s="35">
        <f>IF(A338="",0,MAX(G337-D338-F338,0))</f>
        <v>0</v>
      </c>
      <c r="H338" s="35">
        <f>IF(A338="",0,H337+E338)</f>
        <v>309569.3800000003</v>
      </c>
    </row>
    <row r="339" ht="26" customHeight="1" spans="1:8" x14ac:dyDescent="0.25">
      <c r="A339" s="30" t="str">
        <f>IF(G338&gt;0,335,"")</f>
        <v/>
      </c>
      <c r="B339" s="31" t="str">
        <f>IF(A339="","",DATE(YEAR('Mortgage Setup'!B11),MONTH('Mortgage Setup'!B11)+334,DAY('Mortgage Setup'!B11)))</f>
        <v/>
      </c>
      <c r="C339" s="32">
        <f>IF(A339="",0,IF(G338&lt;=0,0,MIN('Mortgage Setup'!B21,G338*(1+'Mortgage Setup'!B9/12))))</f>
        <v>0</v>
      </c>
      <c r="D339" s="32">
        <f>IF(A339="",0,IF(G338&lt;=0,0,MIN(C339-E339,G338)))</f>
        <v>0</v>
      </c>
      <c r="E339" s="32">
        <f>IF(A339="",0,IF(G338&lt;=0,0,ROUND(G338*('Mortgage Setup'!B9/12),2)))</f>
        <v>0</v>
      </c>
      <c r="F339" s="32">
        <f>IF(A339="",0,IF(G338&lt;=0,0,MIN('Mortgage Setup'!B12,MAX(G338-D339,0))))</f>
        <v>0</v>
      </c>
      <c r="G339" s="32">
        <f>IF(A339="",0,MAX(G338-D339-F339,0))</f>
        <v>0</v>
      </c>
      <c r="H339" s="32">
        <f>IF(A339="",0,H338+E339)</f>
        <v>309569.3800000003</v>
      </c>
    </row>
    <row r="340" ht="26" customHeight="1" spans="1:8" x14ac:dyDescent="0.25">
      <c r="A340" s="33" t="str">
        <f>IF(G339&gt;0,336,"")</f>
        <v/>
      </c>
      <c r="B340" s="34" t="str">
        <f>IF(A340="","",DATE(YEAR('Mortgage Setup'!B11),MONTH('Mortgage Setup'!B11)+335,DAY('Mortgage Setup'!B11)))</f>
        <v/>
      </c>
      <c r="C340" s="35">
        <f>IF(A340="",0,IF(G339&lt;=0,0,MIN('Mortgage Setup'!B21,G339*(1+'Mortgage Setup'!B9/12))))</f>
        <v>0</v>
      </c>
      <c r="D340" s="35">
        <f>IF(A340="",0,IF(G339&lt;=0,0,MIN(C340-E340,G339)))</f>
        <v>0</v>
      </c>
      <c r="E340" s="35">
        <f>IF(A340="",0,IF(G339&lt;=0,0,ROUND(G339*('Mortgage Setup'!B9/12),2)))</f>
        <v>0</v>
      </c>
      <c r="F340" s="35">
        <f>IF(A340="",0,IF(G339&lt;=0,0,MIN('Mortgage Setup'!B12,MAX(G339-D340,0))))</f>
        <v>0</v>
      </c>
      <c r="G340" s="35">
        <f>IF(A340="",0,MAX(G339-D340-F340,0))</f>
        <v>0</v>
      </c>
      <c r="H340" s="35">
        <f>IF(A340="",0,H339+E340)</f>
        <v>309569.3800000003</v>
      </c>
    </row>
    <row r="341" ht="26" customHeight="1" spans="1:8" x14ac:dyDescent="0.25">
      <c r="A341" s="30" t="str">
        <f>IF(G340&gt;0,337,"")</f>
        <v/>
      </c>
      <c r="B341" s="31" t="str">
        <f>IF(A341="","",DATE(YEAR('Mortgage Setup'!B11),MONTH('Mortgage Setup'!B11)+336,DAY('Mortgage Setup'!B11)))</f>
        <v/>
      </c>
      <c r="C341" s="32">
        <f>IF(A341="",0,IF(G340&lt;=0,0,MIN('Mortgage Setup'!B21,G340*(1+'Mortgage Setup'!B9/12))))</f>
        <v>0</v>
      </c>
      <c r="D341" s="32">
        <f>IF(A341="",0,IF(G340&lt;=0,0,MIN(C341-E341,G340)))</f>
        <v>0</v>
      </c>
      <c r="E341" s="32">
        <f>IF(A341="",0,IF(G340&lt;=0,0,ROUND(G340*('Mortgage Setup'!B9/12),2)))</f>
        <v>0</v>
      </c>
      <c r="F341" s="32">
        <f>IF(A341="",0,IF(G340&lt;=0,0,MIN('Mortgage Setup'!B12,MAX(G340-D341,0))))</f>
        <v>0</v>
      </c>
      <c r="G341" s="32">
        <f>IF(A341="",0,MAX(G340-D341-F341,0))</f>
        <v>0</v>
      </c>
      <c r="H341" s="32">
        <f>IF(A341="",0,H340+E341)</f>
        <v>309569.3800000003</v>
      </c>
    </row>
    <row r="342" ht="26" customHeight="1" spans="1:8" x14ac:dyDescent="0.25">
      <c r="A342" s="33" t="str">
        <f>IF(G341&gt;0,338,"")</f>
        <v/>
      </c>
      <c r="B342" s="34" t="str">
        <f>IF(A342="","",DATE(YEAR('Mortgage Setup'!B11),MONTH('Mortgage Setup'!B11)+337,DAY('Mortgage Setup'!B11)))</f>
        <v/>
      </c>
      <c r="C342" s="35">
        <f>IF(A342="",0,IF(G341&lt;=0,0,MIN('Mortgage Setup'!B21,G341*(1+'Mortgage Setup'!B9/12))))</f>
        <v>0</v>
      </c>
      <c r="D342" s="35">
        <f>IF(A342="",0,IF(G341&lt;=0,0,MIN(C342-E342,G341)))</f>
        <v>0</v>
      </c>
      <c r="E342" s="35">
        <f>IF(A342="",0,IF(G341&lt;=0,0,ROUND(G341*('Mortgage Setup'!B9/12),2)))</f>
        <v>0</v>
      </c>
      <c r="F342" s="35">
        <f>IF(A342="",0,IF(G341&lt;=0,0,MIN('Mortgage Setup'!B12,MAX(G341-D342,0))))</f>
        <v>0</v>
      </c>
      <c r="G342" s="35">
        <f>IF(A342="",0,MAX(G341-D342-F342,0))</f>
        <v>0</v>
      </c>
      <c r="H342" s="35">
        <f>IF(A342="",0,H341+E342)</f>
        <v>309569.3800000003</v>
      </c>
    </row>
    <row r="343" ht="26" customHeight="1" spans="1:8" x14ac:dyDescent="0.25">
      <c r="A343" s="30" t="str">
        <f>IF(G342&gt;0,339,"")</f>
        <v/>
      </c>
      <c r="B343" s="31" t="str">
        <f>IF(A343="","",DATE(YEAR('Mortgage Setup'!B11),MONTH('Mortgage Setup'!B11)+338,DAY('Mortgage Setup'!B11)))</f>
        <v/>
      </c>
      <c r="C343" s="32">
        <f>IF(A343="",0,IF(G342&lt;=0,0,MIN('Mortgage Setup'!B21,G342*(1+'Mortgage Setup'!B9/12))))</f>
        <v>0</v>
      </c>
      <c r="D343" s="32">
        <f>IF(A343="",0,IF(G342&lt;=0,0,MIN(C343-E343,G342)))</f>
        <v>0</v>
      </c>
      <c r="E343" s="32">
        <f>IF(A343="",0,IF(G342&lt;=0,0,ROUND(G342*('Mortgage Setup'!B9/12),2)))</f>
        <v>0</v>
      </c>
      <c r="F343" s="32">
        <f>IF(A343="",0,IF(G342&lt;=0,0,MIN('Mortgage Setup'!B12,MAX(G342-D343,0))))</f>
        <v>0</v>
      </c>
      <c r="G343" s="32">
        <f>IF(A343="",0,MAX(G342-D343-F343,0))</f>
        <v>0</v>
      </c>
      <c r="H343" s="32">
        <f>IF(A343="",0,H342+E343)</f>
        <v>309569.3800000003</v>
      </c>
    </row>
    <row r="344" ht="26" customHeight="1" spans="1:8" x14ac:dyDescent="0.25">
      <c r="A344" s="33" t="str">
        <f>IF(G343&gt;0,340,"")</f>
        <v/>
      </c>
      <c r="B344" s="34" t="str">
        <f>IF(A344="","",DATE(YEAR('Mortgage Setup'!B11),MONTH('Mortgage Setup'!B11)+339,DAY('Mortgage Setup'!B11)))</f>
        <v/>
      </c>
      <c r="C344" s="35">
        <f>IF(A344="",0,IF(G343&lt;=0,0,MIN('Mortgage Setup'!B21,G343*(1+'Mortgage Setup'!B9/12))))</f>
        <v>0</v>
      </c>
      <c r="D344" s="35">
        <f>IF(A344="",0,IF(G343&lt;=0,0,MIN(C344-E344,G343)))</f>
        <v>0</v>
      </c>
      <c r="E344" s="35">
        <f>IF(A344="",0,IF(G343&lt;=0,0,ROUND(G343*('Mortgage Setup'!B9/12),2)))</f>
        <v>0</v>
      </c>
      <c r="F344" s="35">
        <f>IF(A344="",0,IF(G343&lt;=0,0,MIN('Mortgage Setup'!B12,MAX(G343-D344,0))))</f>
        <v>0</v>
      </c>
      <c r="G344" s="35">
        <f>IF(A344="",0,MAX(G343-D344-F344,0))</f>
        <v>0</v>
      </c>
      <c r="H344" s="35">
        <f>IF(A344="",0,H343+E344)</f>
        <v>309569.3800000003</v>
      </c>
    </row>
    <row r="345" ht="26" customHeight="1" spans="1:8" x14ac:dyDescent="0.25">
      <c r="A345" s="30" t="str">
        <f>IF(G344&gt;0,341,"")</f>
        <v/>
      </c>
      <c r="B345" s="31" t="str">
        <f>IF(A345="","",DATE(YEAR('Mortgage Setup'!B11),MONTH('Mortgage Setup'!B11)+340,DAY('Mortgage Setup'!B11)))</f>
        <v/>
      </c>
      <c r="C345" s="32">
        <f>IF(A345="",0,IF(G344&lt;=0,0,MIN('Mortgage Setup'!B21,G344*(1+'Mortgage Setup'!B9/12))))</f>
        <v>0</v>
      </c>
      <c r="D345" s="32">
        <f>IF(A345="",0,IF(G344&lt;=0,0,MIN(C345-E345,G344)))</f>
        <v>0</v>
      </c>
      <c r="E345" s="32">
        <f>IF(A345="",0,IF(G344&lt;=0,0,ROUND(G344*('Mortgage Setup'!B9/12),2)))</f>
        <v>0</v>
      </c>
      <c r="F345" s="32">
        <f>IF(A345="",0,IF(G344&lt;=0,0,MIN('Mortgage Setup'!B12,MAX(G344-D345,0))))</f>
        <v>0</v>
      </c>
      <c r="G345" s="32">
        <f>IF(A345="",0,MAX(G344-D345-F345,0))</f>
        <v>0</v>
      </c>
      <c r="H345" s="32">
        <f>IF(A345="",0,H344+E345)</f>
        <v>309569.3800000003</v>
      </c>
    </row>
    <row r="346" ht="26" customHeight="1" spans="1:8" x14ac:dyDescent="0.25">
      <c r="A346" s="33" t="str">
        <f>IF(G345&gt;0,342,"")</f>
        <v/>
      </c>
      <c r="B346" s="34" t="str">
        <f>IF(A346="","",DATE(YEAR('Mortgage Setup'!B11),MONTH('Mortgage Setup'!B11)+341,DAY('Mortgage Setup'!B11)))</f>
        <v/>
      </c>
      <c r="C346" s="35">
        <f>IF(A346="",0,IF(G345&lt;=0,0,MIN('Mortgage Setup'!B21,G345*(1+'Mortgage Setup'!B9/12))))</f>
        <v>0</v>
      </c>
      <c r="D346" s="35">
        <f>IF(A346="",0,IF(G345&lt;=0,0,MIN(C346-E346,G345)))</f>
        <v>0</v>
      </c>
      <c r="E346" s="35">
        <f>IF(A346="",0,IF(G345&lt;=0,0,ROUND(G345*('Mortgage Setup'!B9/12),2)))</f>
        <v>0</v>
      </c>
      <c r="F346" s="35">
        <f>IF(A346="",0,IF(G345&lt;=0,0,MIN('Mortgage Setup'!B12,MAX(G345-D346,0))))</f>
        <v>0</v>
      </c>
      <c r="G346" s="35">
        <f>IF(A346="",0,MAX(G345-D346-F346,0))</f>
        <v>0</v>
      </c>
      <c r="H346" s="35">
        <f>IF(A346="",0,H345+E346)</f>
        <v>309569.3800000003</v>
      </c>
    </row>
    <row r="347" ht="26" customHeight="1" spans="1:8" x14ac:dyDescent="0.25">
      <c r="A347" s="30" t="str">
        <f>IF(G346&gt;0,343,"")</f>
        <v/>
      </c>
      <c r="B347" s="31" t="str">
        <f>IF(A347="","",DATE(YEAR('Mortgage Setup'!B11),MONTH('Mortgage Setup'!B11)+342,DAY('Mortgage Setup'!B11)))</f>
        <v/>
      </c>
      <c r="C347" s="32">
        <f>IF(A347="",0,IF(G346&lt;=0,0,MIN('Mortgage Setup'!B21,G346*(1+'Mortgage Setup'!B9/12))))</f>
        <v>0</v>
      </c>
      <c r="D347" s="32">
        <f>IF(A347="",0,IF(G346&lt;=0,0,MIN(C347-E347,G346)))</f>
        <v>0</v>
      </c>
      <c r="E347" s="32">
        <f>IF(A347="",0,IF(G346&lt;=0,0,ROUND(G346*('Mortgage Setup'!B9/12),2)))</f>
        <v>0</v>
      </c>
      <c r="F347" s="32">
        <f>IF(A347="",0,IF(G346&lt;=0,0,MIN('Mortgage Setup'!B12,MAX(G346-D347,0))))</f>
        <v>0</v>
      </c>
      <c r="G347" s="32">
        <f>IF(A347="",0,MAX(G346-D347-F347,0))</f>
        <v>0</v>
      </c>
      <c r="H347" s="32">
        <f>IF(A347="",0,H346+E347)</f>
        <v>309569.3800000003</v>
      </c>
    </row>
    <row r="348" ht="26" customHeight="1" spans="1:8" x14ac:dyDescent="0.25">
      <c r="A348" s="33" t="str">
        <f>IF(G347&gt;0,344,"")</f>
        <v/>
      </c>
      <c r="B348" s="34" t="str">
        <f>IF(A348="","",DATE(YEAR('Mortgage Setup'!B11),MONTH('Mortgage Setup'!B11)+343,DAY('Mortgage Setup'!B11)))</f>
        <v/>
      </c>
      <c r="C348" s="35">
        <f>IF(A348="",0,IF(G347&lt;=0,0,MIN('Mortgage Setup'!B21,G347*(1+'Mortgage Setup'!B9/12))))</f>
        <v>0</v>
      </c>
      <c r="D348" s="35">
        <f>IF(A348="",0,IF(G347&lt;=0,0,MIN(C348-E348,G347)))</f>
        <v>0</v>
      </c>
      <c r="E348" s="35">
        <f>IF(A348="",0,IF(G347&lt;=0,0,ROUND(G347*('Mortgage Setup'!B9/12),2)))</f>
        <v>0</v>
      </c>
      <c r="F348" s="35">
        <f>IF(A348="",0,IF(G347&lt;=0,0,MIN('Mortgage Setup'!B12,MAX(G347-D348,0))))</f>
        <v>0</v>
      </c>
      <c r="G348" s="35">
        <f>IF(A348="",0,MAX(G347-D348-F348,0))</f>
        <v>0</v>
      </c>
      <c r="H348" s="35">
        <f>IF(A348="",0,H347+E348)</f>
        <v>309569.3800000003</v>
      </c>
    </row>
    <row r="349" ht="26" customHeight="1" spans="1:8" x14ac:dyDescent="0.25">
      <c r="A349" s="30" t="str">
        <f>IF(G348&gt;0,345,"")</f>
        <v/>
      </c>
      <c r="B349" s="31" t="str">
        <f>IF(A349="","",DATE(YEAR('Mortgage Setup'!B11),MONTH('Mortgage Setup'!B11)+344,DAY('Mortgage Setup'!B11)))</f>
        <v/>
      </c>
      <c r="C349" s="32">
        <f>IF(A349="",0,IF(G348&lt;=0,0,MIN('Mortgage Setup'!B21,G348*(1+'Mortgage Setup'!B9/12))))</f>
        <v>0</v>
      </c>
      <c r="D349" s="32">
        <f>IF(A349="",0,IF(G348&lt;=0,0,MIN(C349-E349,G348)))</f>
        <v>0</v>
      </c>
      <c r="E349" s="32">
        <f>IF(A349="",0,IF(G348&lt;=0,0,ROUND(G348*('Mortgage Setup'!B9/12),2)))</f>
        <v>0</v>
      </c>
      <c r="F349" s="32">
        <f>IF(A349="",0,IF(G348&lt;=0,0,MIN('Mortgage Setup'!B12,MAX(G348-D349,0))))</f>
        <v>0</v>
      </c>
      <c r="G349" s="32">
        <f>IF(A349="",0,MAX(G348-D349-F349,0))</f>
        <v>0</v>
      </c>
      <c r="H349" s="32">
        <f>IF(A349="",0,H348+E349)</f>
        <v>309569.3800000003</v>
      </c>
    </row>
    <row r="350" ht="26" customHeight="1" spans="1:8" x14ac:dyDescent="0.25">
      <c r="A350" s="33" t="str">
        <f>IF(G349&gt;0,346,"")</f>
        <v/>
      </c>
      <c r="B350" s="34" t="str">
        <f>IF(A350="","",DATE(YEAR('Mortgage Setup'!B11),MONTH('Mortgage Setup'!B11)+345,DAY('Mortgage Setup'!B11)))</f>
        <v/>
      </c>
      <c r="C350" s="35">
        <f>IF(A350="",0,IF(G349&lt;=0,0,MIN('Mortgage Setup'!B21,G349*(1+'Mortgage Setup'!B9/12))))</f>
        <v>0</v>
      </c>
      <c r="D350" s="35">
        <f>IF(A350="",0,IF(G349&lt;=0,0,MIN(C350-E350,G349)))</f>
        <v>0</v>
      </c>
      <c r="E350" s="35">
        <f>IF(A350="",0,IF(G349&lt;=0,0,ROUND(G349*('Mortgage Setup'!B9/12),2)))</f>
        <v>0</v>
      </c>
      <c r="F350" s="35">
        <f>IF(A350="",0,IF(G349&lt;=0,0,MIN('Mortgage Setup'!B12,MAX(G349-D350,0))))</f>
        <v>0</v>
      </c>
      <c r="G350" s="35">
        <f>IF(A350="",0,MAX(G349-D350-F350,0))</f>
        <v>0</v>
      </c>
      <c r="H350" s="35">
        <f>IF(A350="",0,H349+E350)</f>
        <v>309569.3800000003</v>
      </c>
    </row>
    <row r="351" ht="26" customHeight="1" spans="1:8" x14ac:dyDescent="0.25">
      <c r="A351" s="30" t="str">
        <f>IF(G350&gt;0,347,"")</f>
        <v/>
      </c>
      <c r="B351" s="31" t="str">
        <f>IF(A351="","",DATE(YEAR('Mortgage Setup'!B11),MONTH('Mortgage Setup'!B11)+346,DAY('Mortgage Setup'!B11)))</f>
        <v/>
      </c>
      <c r="C351" s="32">
        <f>IF(A351="",0,IF(G350&lt;=0,0,MIN('Mortgage Setup'!B21,G350*(1+'Mortgage Setup'!B9/12))))</f>
        <v>0</v>
      </c>
      <c r="D351" s="32">
        <f>IF(A351="",0,IF(G350&lt;=0,0,MIN(C351-E351,G350)))</f>
        <v>0</v>
      </c>
      <c r="E351" s="32">
        <f>IF(A351="",0,IF(G350&lt;=0,0,ROUND(G350*('Mortgage Setup'!B9/12),2)))</f>
        <v>0</v>
      </c>
      <c r="F351" s="32">
        <f>IF(A351="",0,IF(G350&lt;=0,0,MIN('Mortgage Setup'!B12,MAX(G350-D351,0))))</f>
        <v>0</v>
      </c>
      <c r="G351" s="32">
        <f>IF(A351="",0,MAX(G350-D351-F351,0))</f>
        <v>0</v>
      </c>
      <c r="H351" s="32">
        <f>IF(A351="",0,H350+E351)</f>
        <v>309569.3800000003</v>
      </c>
    </row>
    <row r="352" ht="26" customHeight="1" spans="1:8" x14ac:dyDescent="0.25">
      <c r="A352" s="33" t="str">
        <f>IF(G351&gt;0,348,"")</f>
        <v/>
      </c>
      <c r="B352" s="34" t="str">
        <f>IF(A352="","",DATE(YEAR('Mortgage Setup'!B11),MONTH('Mortgage Setup'!B11)+347,DAY('Mortgage Setup'!B11)))</f>
        <v/>
      </c>
      <c r="C352" s="35">
        <f>IF(A352="",0,IF(G351&lt;=0,0,MIN('Mortgage Setup'!B21,G351*(1+'Mortgage Setup'!B9/12))))</f>
        <v>0</v>
      </c>
      <c r="D352" s="35">
        <f>IF(A352="",0,IF(G351&lt;=0,0,MIN(C352-E352,G351)))</f>
        <v>0</v>
      </c>
      <c r="E352" s="35">
        <f>IF(A352="",0,IF(G351&lt;=0,0,ROUND(G351*('Mortgage Setup'!B9/12),2)))</f>
        <v>0</v>
      </c>
      <c r="F352" s="35">
        <f>IF(A352="",0,IF(G351&lt;=0,0,MIN('Mortgage Setup'!B12,MAX(G351-D352,0))))</f>
        <v>0</v>
      </c>
      <c r="G352" s="35">
        <f>IF(A352="",0,MAX(G351-D352-F352,0))</f>
        <v>0</v>
      </c>
      <c r="H352" s="35">
        <f>IF(A352="",0,H351+E352)</f>
        <v>309569.3800000003</v>
      </c>
    </row>
    <row r="353" ht="26" customHeight="1" spans="1:8" x14ac:dyDescent="0.25">
      <c r="A353" s="30" t="str">
        <f>IF(G352&gt;0,349,"")</f>
        <v/>
      </c>
      <c r="B353" s="31" t="str">
        <f>IF(A353="","",DATE(YEAR('Mortgage Setup'!B11),MONTH('Mortgage Setup'!B11)+348,DAY('Mortgage Setup'!B11)))</f>
        <v/>
      </c>
      <c r="C353" s="32">
        <f>IF(A353="",0,IF(G352&lt;=0,0,MIN('Mortgage Setup'!B21,G352*(1+'Mortgage Setup'!B9/12))))</f>
        <v>0</v>
      </c>
      <c r="D353" s="32">
        <f>IF(A353="",0,IF(G352&lt;=0,0,MIN(C353-E353,G352)))</f>
        <v>0</v>
      </c>
      <c r="E353" s="32">
        <f>IF(A353="",0,IF(G352&lt;=0,0,ROUND(G352*('Mortgage Setup'!B9/12),2)))</f>
        <v>0</v>
      </c>
      <c r="F353" s="32">
        <f>IF(A353="",0,IF(G352&lt;=0,0,MIN('Mortgage Setup'!B12,MAX(G352-D353,0))))</f>
        <v>0</v>
      </c>
      <c r="G353" s="32">
        <f>IF(A353="",0,MAX(G352-D353-F353,0))</f>
        <v>0</v>
      </c>
      <c r="H353" s="32">
        <f>IF(A353="",0,H352+E353)</f>
        <v>309569.3800000003</v>
      </c>
    </row>
    <row r="354" ht="26" customHeight="1" spans="1:8" x14ac:dyDescent="0.25">
      <c r="A354" s="33" t="str">
        <f>IF(G353&gt;0,350,"")</f>
        <v/>
      </c>
      <c r="B354" s="34" t="str">
        <f>IF(A354="","",DATE(YEAR('Mortgage Setup'!B11),MONTH('Mortgage Setup'!B11)+349,DAY('Mortgage Setup'!B11)))</f>
        <v/>
      </c>
      <c r="C354" s="35">
        <f>IF(A354="",0,IF(G353&lt;=0,0,MIN('Mortgage Setup'!B21,G353*(1+'Mortgage Setup'!B9/12))))</f>
        <v>0</v>
      </c>
      <c r="D354" s="35">
        <f>IF(A354="",0,IF(G353&lt;=0,0,MIN(C354-E354,G353)))</f>
        <v>0</v>
      </c>
      <c r="E354" s="35">
        <f>IF(A354="",0,IF(G353&lt;=0,0,ROUND(G353*('Mortgage Setup'!B9/12),2)))</f>
        <v>0</v>
      </c>
      <c r="F354" s="35">
        <f>IF(A354="",0,IF(G353&lt;=0,0,MIN('Mortgage Setup'!B12,MAX(G353-D354,0))))</f>
        <v>0</v>
      </c>
      <c r="G354" s="35">
        <f>IF(A354="",0,MAX(G353-D354-F354,0))</f>
        <v>0</v>
      </c>
      <c r="H354" s="35">
        <f>IF(A354="",0,H353+E354)</f>
        <v>309569.3800000003</v>
      </c>
    </row>
    <row r="355" ht="26" customHeight="1" spans="1:8" x14ac:dyDescent="0.25">
      <c r="A355" s="30" t="str">
        <f>IF(G354&gt;0,351,"")</f>
        <v/>
      </c>
      <c r="B355" s="31" t="str">
        <f>IF(A355="","",DATE(YEAR('Mortgage Setup'!B11),MONTH('Mortgage Setup'!B11)+350,DAY('Mortgage Setup'!B11)))</f>
        <v/>
      </c>
      <c r="C355" s="32">
        <f>IF(A355="",0,IF(G354&lt;=0,0,MIN('Mortgage Setup'!B21,G354*(1+'Mortgage Setup'!B9/12))))</f>
        <v>0</v>
      </c>
      <c r="D355" s="32">
        <f>IF(A355="",0,IF(G354&lt;=0,0,MIN(C355-E355,G354)))</f>
        <v>0</v>
      </c>
      <c r="E355" s="32">
        <f>IF(A355="",0,IF(G354&lt;=0,0,ROUND(G354*('Mortgage Setup'!B9/12),2)))</f>
        <v>0</v>
      </c>
      <c r="F355" s="32">
        <f>IF(A355="",0,IF(G354&lt;=0,0,MIN('Mortgage Setup'!B12,MAX(G354-D355,0))))</f>
        <v>0</v>
      </c>
      <c r="G355" s="32">
        <f>IF(A355="",0,MAX(G354-D355-F355,0))</f>
        <v>0</v>
      </c>
      <c r="H355" s="32">
        <f>IF(A355="",0,H354+E355)</f>
        <v>309569.3800000003</v>
      </c>
    </row>
    <row r="356" ht="26" customHeight="1" spans="1:8" x14ac:dyDescent="0.25">
      <c r="A356" s="33" t="str">
        <f>IF(G355&gt;0,352,"")</f>
        <v/>
      </c>
      <c r="B356" s="34" t="str">
        <f>IF(A356="","",DATE(YEAR('Mortgage Setup'!B11),MONTH('Mortgage Setup'!B11)+351,DAY('Mortgage Setup'!B11)))</f>
        <v/>
      </c>
      <c r="C356" s="35">
        <f>IF(A356="",0,IF(G355&lt;=0,0,MIN('Mortgage Setup'!B21,G355*(1+'Mortgage Setup'!B9/12))))</f>
        <v>0</v>
      </c>
      <c r="D356" s="35">
        <f>IF(A356="",0,IF(G355&lt;=0,0,MIN(C356-E356,G355)))</f>
        <v>0</v>
      </c>
      <c r="E356" s="35">
        <f>IF(A356="",0,IF(G355&lt;=0,0,ROUND(G355*('Mortgage Setup'!B9/12),2)))</f>
        <v>0</v>
      </c>
      <c r="F356" s="35">
        <f>IF(A356="",0,IF(G355&lt;=0,0,MIN('Mortgage Setup'!B12,MAX(G355-D356,0))))</f>
        <v>0</v>
      </c>
      <c r="G356" s="35">
        <f>IF(A356="",0,MAX(G355-D356-F356,0))</f>
        <v>0</v>
      </c>
      <c r="H356" s="35">
        <f>IF(A356="",0,H355+E356)</f>
        <v>309569.3800000003</v>
      </c>
    </row>
    <row r="357" ht="26" customHeight="1" spans="1:8" x14ac:dyDescent="0.25">
      <c r="A357" s="30" t="str">
        <f>IF(G356&gt;0,353,"")</f>
        <v/>
      </c>
      <c r="B357" s="31" t="str">
        <f>IF(A357="","",DATE(YEAR('Mortgage Setup'!B11),MONTH('Mortgage Setup'!B11)+352,DAY('Mortgage Setup'!B11)))</f>
        <v/>
      </c>
      <c r="C357" s="32">
        <f>IF(A357="",0,IF(G356&lt;=0,0,MIN('Mortgage Setup'!B21,G356*(1+'Mortgage Setup'!B9/12))))</f>
        <v>0</v>
      </c>
      <c r="D357" s="32">
        <f>IF(A357="",0,IF(G356&lt;=0,0,MIN(C357-E357,G356)))</f>
        <v>0</v>
      </c>
      <c r="E357" s="32">
        <f>IF(A357="",0,IF(G356&lt;=0,0,ROUND(G356*('Mortgage Setup'!B9/12),2)))</f>
        <v>0</v>
      </c>
      <c r="F357" s="32">
        <f>IF(A357="",0,IF(G356&lt;=0,0,MIN('Mortgage Setup'!B12,MAX(G356-D357,0))))</f>
        <v>0</v>
      </c>
      <c r="G357" s="32">
        <f>IF(A357="",0,MAX(G356-D357-F357,0))</f>
        <v>0</v>
      </c>
      <c r="H357" s="32">
        <f>IF(A357="",0,H356+E357)</f>
        <v>309569.3800000003</v>
      </c>
    </row>
    <row r="358" ht="26" customHeight="1" spans="1:8" x14ac:dyDescent="0.25">
      <c r="A358" s="33" t="str">
        <f>IF(G357&gt;0,354,"")</f>
        <v/>
      </c>
      <c r="B358" s="34" t="str">
        <f>IF(A358="","",DATE(YEAR('Mortgage Setup'!B11),MONTH('Mortgage Setup'!B11)+353,DAY('Mortgage Setup'!B11)))</f>
        <v/>
      </c>
      <c r="C358" s="35">
        <f>IF(A358="",0,IF(G357&lt;=0,0,MIN('Mortgage Setup'!B21,G357*(1+'Mortgage Setup'!B9/12))))</f>
        <v>0</v>
      </c>
      <c r="D358" s="35">
        <f>IF(A358="",0,IF(G357&lt;=0,0,MIN(C358-E358,G357)))</f>
        <v>0</v>
      </c>
      <c r="E358" s="35">
        <f>IF(A358="",0,IF(G357&lt;=0,0,ROUND(G357*('Mortgage Setup'!B9/12),2)))</f>
        <v>0</v>
      </c>
      <c r="F358" s="35">
        <f>IF(A358="",0,IF(G357&lt;=0,0,MIN('Mortgage Setup'!B12,MAX(G357-D358,0))))</f>
        <v>0</v>
      </c>
      <c r="G358" s="35">
        <f>IF(A358="",0,MAX(G357-D358-F358,0))</f>
        <v>0</v>
      </c>
      <c r="H358" s="35">
        <f>IF(A358="",0,H357+E358)</f>
        <v>309569.3800000003</v>
      </c>
    </row>
    <row r="359" ht="26" customHeight="1" spans="1:8" x14ac:dyDescent="0.25">
      <c r="A359" s="30" t="str">
        <f>IF(G358&gt;0,355,"")</f>
        <v/>
      </c>
      <c r="B359" s="31" t="str">
        <f>IF(A359="","",DATE(YEAR('Mortgage Setup'!B11),MONTH('Mortgage Setup'!B11)+354,DAY('Mortgage Setup'!B11)))</f>
        <v/>
      </c>
      <c r="C359" s="32">
        <f>IF(A359="",0,IF(G358&lt;=0,0,MIN('Mortgage Setup'!B21,G358*(1+'Mortgage Setup'!B9/12))))</f>
        <v>0</v>
      </c>
      <c r="D359" s="32">
        <f>IF(A359="",0,IF(G358&lt;=0,0,MIN(C359-E359,G358)))</f>
        <v>0</v>
      </c>
      <c r="E359" s="32">
        <f>IF(A359="",0,IF(G358&lt;=0,0,ROUND(G358*('Mortgage Setup'!B9/12),2)))</f>
        <v>0</v>
      </c>
      <c r="F359" s="32">
        <f>IF(A359="",0,IF(G358&lt;=0,0,MIN('Mortgage Setup'!B12,MAX(G358-D359,0))))</f>
        <v>0</v>
      </c>
      <c r="G359" s="32">
        <f>IF(A359="",0,MAX(G358-D359-F359,0))</f>
        <v>0</v>
      </c>
      <c r="H359" s="32">
        <f>IF(A359="",0,H358+E359)</f>
        <v>309569.3800000003</v>
      </c>
    </row>
    <row r="360" ht="26" customHeight="1" spans="1:8" x14ac:dyDescent="0.25">
      <c r="A360" s="33" t="str">
        <f>IF(G359&gt;0,356,"")</f>
        <v/>
      </c>
      <c r="B360" s="34" t="str">
        <f>IF(A360="","",DATE(YEAR('Mortgage Setup'!B11),MONTH('Mortgage Setup'!B11)+355,DAY('Mortgage Setup'!B11)))</f>
        <v/>
      </c>
      <c r="C360" s="35">
        <f>IF(A360="",0,IF(G359&lt;=0,0,MIN('Mortgage Setup'!B21,G359*(1+'Mortgage Setup'!B9/12))))</f>
        <v>0</v>
      </c>
      <c r="D360" s="35">
        <f>IF(A360="",0,IF(G359&lt;=0,0,MIN(C360-E360,G359)))</f>
        <v>0</v>
      </c>
      <c r="E360" s="35">
        <f>IF(A360="",0,IF(G359&lt;=0,0,ROUND(G359*('Mortgage Setup'!B9/12),2)))</f>
        <v>0</v>
      </c>
      <c r="F360" s="35">
        <f>IF(A360="",0,IF(G359&lt;=0,0,MIN('Mortgage Setup'!B12,MAX(G359-D360,0))))</f>
        <v>0</v>
      </c>
      <c r="G360" s="35">
        <f>IF(A360="",0,MAX(G359-D360-F360,0))</f>
        <v>0</v>
      </c>
      <c r="H360" s="35">
        <f>IF(A360="",0,H359+E360)</f>
        <v>309569.3800000003</v>
      </c>
    </row>
    <row r="361" ht="26" customHeight="1" spans="1:8" x14ac:dyDescent="0.25">
      <c r="A361" s="30" t="str">
        <f>IF(G360&gt;0,357,"")</f>
        <v/>
      </c>
      <c r="B361" s="31" t="str">
        <f>IF(A361="","",DATE(YEAR('Mortgage Setup'!B11),MONTH('Mortgage Setup'!B11)+356,DAY('Mortgage Setup'!B11)))</f>
        <v/>
      </c>
      <c r="C361" s="32">
        <f>IF(A361="",0,IF(G360&lt;=0,0,MIN('Mortgage Setup'!B21,G360*(1+'Mortgage Setup'!B9/12))))</f>
        <v>0</v>
      </c>
      <c r="D361" s="32">
        <f>IF(A361="",0,IF(G360&lt;=0,0,MIN(C361-E361,G360)))</f>
        <v>0</v>
      </c>
      <c r="E361" s="32">
        <f>IF(A361="",0,IF(G360&lt;=0,0,ROUND(G360*('Mortgage Setup'!B9/12),2)))</f>
        <v>0</v>
      </c>
      <c r="F361" s="32">
        <f>IF(A361="",0,IF(G360&lt;=0,0,MIN('Mortgage Setup'!B12,MAX(G360-D361,0))))</f>
        <v>0</v>
      </c>
      <c r="G361" s="32">
        <f>IF(A361="",0,MAX(G360-D361-F361,0))</f>
        <v>0</v>
      </c>
      <c r="H361" s="32">
        <f>IF(A361="",0,H360+E361)</f>
        <v>309569.3800000003</v>
      </c>
    </row>
    <row r="362" ht="26" customHeight="1" spans="1:8" x14ac:dyDescent="0.25">
      <c r="A362" s="33" t="str">
        <f>IF(G361&gt;0,358,"")</f>
        <v/>
      </c>
      <c r="B362" s="34" t="str">
        <f>IF(A362="","",DATE(YEAR('Mortgage Setup'!B11),MONTH('Mortgage Setup'!B11)+357,DAY('Mortgage Setup'!B11)))</f>
        <v/>
      </c>
      <c r="C362" s="35">
        <f>IF(A362="",0,IF(G361&lt;=0,0,MIN('Mortgage Setup'!B21,G361*(1+'Mortgage Setup'!B9/12))))</f>
        <v>0</v>
      </c>
      <c r="D362" s="35">
        <f>IF(A362="",0,IF(G361&lt;=0,0,MIN(C362-E362,G361)))</f>
        <v>0</v>
      </c>
      <c r="E362" s="35">
        <f>IF(A362="",0,IF(G361&lt;=0,0,ROUND(G361*('Mortgage Setup'!B9/12),2)))</f>
        <v>0</v>
      </c>
      <c r="F362" s="35">
        <f>IF(A362="",0,IF(G361&lt;=0,0,MIN('Mortgage Setup'!B12,MAX(G361-D362,0))))</f>
        <v>0</v>
      </c>
      <c r="G362" s="35">
        <f>IF(A362="",0,MAX(G361-D362-F362,0))</f>
        <v>0</v>
      </c>
      <c r="H362" s="35">
        <f>IF(A362="",0,H361+E362)</f>
        <v>309569.3800000003</v>
      </c>
    </row>
    <row r="363" ht="26" customHeight="1" spans="1:8" x14ac:dyDescent="0.25">
      <c r="A363" s="30" t="str">
        <f>IF(G362&gt;0,359,"")</f>
        <v/>
      </c>
      <c r="B363" s="31" t="str">
        <f>IF(A363="","",DATE(YEAR('Mortgage Setup'!B11),MONTH('Mortgage Setup'!B11)+358,DAY('Mortgage Setup'!B11)))</f>
        <v/>
      </c>
      <c r="C363" s="32">
        <f>IF(A363="",0,IF(G362&lt;=0,0,MIN('Mortgage Setup'!B21,G362*(1+'Mortgage Setup'!B9/12))))</f>
        <v>0</v>
      </c>
      <c r="D363" s="32">
        <f>IF(A363="",0,IF(G362&lt;=0,0,MIN(C363-E363,G362)))</f>
        <v>0</v>
      </c>
      <c r="E363" s="32">
        <f>IF(A363="",0,IF(G362&lt;=0,0,ROUND(G362*('Mortgage Setup'!B9/12),2)))</f>
        <v>0</v>
      </c>
      <c r="F363" s="32">
        <f>IF(A363="",0,IF(G362&lt;=0,0,MIN('Mortgage Setup'!B12,MAX(G362-D363,0))))</f>
        <v>0</v>
      </c>
      <c r="G363" s="32">
        <f>IF(A363="",0,MAX(G362-D363-F363,0))</f>
        <v>0</v>
      </c>
      <c r="H363" s="32">
        <f>IF(A363="",0,H362+E363)</f>
        <v>309569.3800000003</v>
      </c>
    </row>
    <row r="364" ht="26" customHeight="1" spans="1:8" x14ac:dyDescent="0.25">
      <c r="A364" s="33" t="str">
        <f>IF(G363&gt;0,360,"")</f>
        <v/>
      </c>
      <c r="B364" s="34" t="str">
        <f>IF(A364="","",DATE(YEAR('Mortgage Setup'!B11),MONTH('Mortgage Setup'!B11)+359,DAY('Mortgage Setup'!B11)))</f>
        <v/>
      </c>
      <c r="C364" s="35">
        <f>IF(A364="",0,IF(G363&lt;=0,0,MIN('Mortgage Setup'!B21,G363*(1+'Mortgage Setup'!B9/12))))</f>
        <v>0</v>
      </c>
      <c r="D364" s="35">
        <f>IF(A364="",0,IF(G363&lt;=0,0,MIN(C364-E364,G363)))</f>
        <v>0</v>
      </c>
      <c r="E364" s="35">
        <f>IF(A364="",0,IF(G363&lt;=0,0,ROUND(G363*('Mortgage Setup'!B9/12),2)))</f>
        <v>0</v>
      </c>
      <c r="F364" s="35">
        <f>IF(A364="",0,IF(G363&lt;=0,0,MIN('Mortgage Setup'!B12,MAX(G363-D364,0))))</f>
        <v>0</v>
      </c>
      <c r="G364" s="35">
        <f>IF(A364="",0,MAX(G363-D364-F364,0))</f>
        <v>0</v>
      </c>
      <c r="H364" s="35">
        <f>IF(A364="",0,H363+E364)</f>
        <v>309569.3800000003</v>
      </c>
    </row>
    <row r="365" ht="14" customHeight="1" x14ac:dyDescent="0.25"/>
    <row r="366" ht="6" customHeight="1" x14ac:dyDescent="0.25"/>
    <row r="367" ht="20" customHeight="1" spans="1:8" x14ac:dyDescent="0.25">
      <c r="A367" s="13" t="s">
        <v>17</v>
      </c>
      <c r="B367" s="13"/>
      <c r="C367" s="13"/>
      <c r="D367" s="13"/>
      <c r="E367" s="13"/>
      <c r="F367" s="13"/>
      <c r="G367" s="13"/>
      <c r="H367" s="13"/>
    </row>
    <row r="368" ht="20" customHeight="1" spans="1:8" x14ac:dyDescent="0.25">
      <c r="A368" s="14" t="s">
        <v>18</v>
      </c>
      <c r="B368" s="14"/>
      <c r="C368" s="14"/>
      <c r="D368" s="14"/>
      <c r="E368" s="14"/>
      <c r="F368" s="14"/>
      <c r="G368" s="14"/>
      <c r="H368" s="14"/>
    </row>
  </sheetData>
  <sheetProtection sheet="1"/>
  <mergeCells count="4">
    <mergeCell ref="A1:H1"/>
    <mergeCell ref="A2:H2"/>
    <mergeCell ref="A367:H367"/>
    <mergeCell ref="A368:H368"/>
  </mergeCells>
  <hyperlinks>
    <hyperlink ref="A368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EEF0F7"/>
    <pageSetUpPr fitToPage="1"/>
  </sheetPr>
  <dimension ref="A1:B63"/>
  <sheetViews>
    <sheetView workbookViewId="0" showGridLines="0" zoomScale="125"/>
  </sheetViews>
  <sheetFormatPr defaultRowHeight="15" outlineLevelRow="0" outlineLevelCol="0" x14ac:dyDescent="55"/>
  <cols>
    <col min="1" max="1" width="4" customWidth="1"/>
    <col min="2" max="2" width="80" customWidth="1"/>
  </cols>
  <sheetData>
    <row r="1" ht="48" customHeight="1" spans="1:2" x14ac:dyDescent="0.25">
      <c r="A1" s="36" t="s">
        <v>96</v>
      </c>
      <c r="B1" s="36"/>
    </row>
    <row r="2" ht="24" customHeight="1" spans="1:2" x14ac:dyDescent="0.25">
      <c r="A2" s="37" t="s">
        <v>97</v>
      </c>
      <c r="B2" s="37"/>
    </row>
    <row r="3" ht="14" customHeight="1" x14ac:dyDescent="0.25"/>
    <row r="4" ht="28" customHeight="1" spans="1:2" x14ac:dyDescent="0.25">
      <c r="A4" s="38" t="s">
        <v>98</v>
      </c>
      <c r="B4" s="12"/>
    </row>
    <row r="6" ht="24" customHeight="1" spans="2:2" x14ac:dyDescent="0.25">
      <c r="B6" s="39" t="s">
        <v>99</v>
      </c>
    </row>
    <row r="7" ht="24" customHeight="1" spans="2:2" x14ac:dyDescent="0.25">
      <c r="B7" s="39" t="s">
        <v>100</v>
      </c>
    </row>
    <row r="8" ht="24" customHeight="1" spans="2:2" x14ac:dyDescent="0.25">
      <c r="B8" s="39" t="s">
        <v>101</v>
      </c>
    </row>
    <row r="9" ht="24" customHeight="1" spans="2:2" x14ac:dyDescent="0.25">
      <c r="B9" s="39" t="s">
        <v>102</v>
      </c>
    </row>
    <row r="10" ht="24" customHeight="1" spans="2:2" x14ac:dyDescent="0.25">
      <c r="B10" s="39" t="s">
        <v>103</v>
      </c>
    </row>
    <row r="11" ht="12" customHeight="1" x14ac:dyDescent="0.25"/>
    <row r="12" ht="28" customHeight="1" spans="1:2" x14ac:dyDescent="0.25">
      <c r="A12" s="38" t="s">
        <v>104</v>
      </c>
      <c r="B12" s="12"/>
    </row>
    <row r="14" ht="24" customHeight="1" spans="2:2" x14ac:dyDescent="0.25">
      <c r="B14" s="39" t="s">
        <v>105</v>
      </c>
    </row>
    <row r="15" ht="24" customHeight="1" spans="2:2" x14ac:dyDescent="0.25">
      <c r="B15" s="39" t="s">
        <v>106</v>
      </c>
    </row>
    <row r="16" ht="24" customHeight="1" spans="2:2" x14ac:dyDescent="0.25">
      <c r="B16" s="39" t="s">
        <v>107</v>
      </c>
    </row>
    <row r="17" ht="24" customHeight="1" spans="2:2" x14ac:dyDescent="0.25">
      <c r="B17" s="39" t="s">
        <v>108</v>
      </c>
    </row>
    <row r="18" ht="24" customHeight="1" spans="2:2" x14ac:dyDescent="0.25">
      <c r="B18" s="39" t="s">
        <v>109</v>
      </c>
    </row>
    <row r="19" ht="24" customHeight="1" spans="2:2" x14ac:dyDescent="0.25">
      <c r="B19" s="39" t="s">
        <v>110</v>
      </c>
    </row>
    <row r="20" ht="12" customHeight="1" x14ac:dyDescent="0.25"/>
    <row r="21" ht="28" customHeight="1" spans="1:2" x14ac:dyDescent="0.25">
      <c r="A21" s="38" t="s">
        <v>111</v>
      </c>
      <c r="B21" s="12"/>
    </row>
    <row r="23" ht="24" customHeight="1" spans="2:2" x14ac:dyDescent="0.25">
      <c r="B23" s="39" t="s">
        <v>112</v>
      </c>
    </row>
    <row r="24" ht="24" customHeight="1" spans="2:2" x14ac:dyDescent="0.25">
      <c r="B24" s="39" t="s">
        <v>113</v>
      </c>
    </row>
    <row r="25" ht="24" customHeight="1" spans="2:2" x14ac:dyDescent="0.25">
      <c r="B25" s="39" t="s">
        <v>114</v>
      </c>
    </row>
    <row r="26" ht="24" customHeight="1" spans="2:2" x14ac:dyDescent="0.25">
      <c r="B26" s="39" t="s">
        <v>115</v>
      </c>
    </row>
    <row r="27" ht="24" customHeight="1" spans="2:2" x14ac:dyDescent="0.25">
      <c r="B27" s="39" t="s">
        <v>116</v>
      </c>
    </row>
    <row r="28" ht="12" customHeight="1" x14ac:dyDescent="0.25"/>
    <row r="29" ht="28" customHeight="1" spans="1:2" x14ac:dyDescent="0.25">
      <c r="A29" s="38" t="s">
        <v>117</v>
      </c>
      <c r="B29" s="12"/>
    </row>
    <row r="31" ht="24" customHeight="1" spans="2:2" x14ac:dyDescent="0.25">
      <c r="B31" s="39" t="s">
        <v>118</v>
      </c>
    </row>
    <row r="32" ht="24" customHeight="1" spans="2:2" x14ac:dyDescent="0.25">
      <c r="B32" s="39" t="s">
        <v>119</v>
      </c>
    </row>
    <row r="33" ht="24" customHeight="1" spans="2:2" x14ac:dyDescent="0.25">
      <c r="B33" s="39" t="s">
        <v>120</v>
      </c>
    </row>
    <row r="34" ht="24" customHeight="1" spans="2:2" x14ac:dyDescent="0.25">
      <c r="B34" s="39" t="s">
        <v>121</v>
      </c>
    </row>
    <row r="35" ht="24" customHeight="1" spans="2:2" x14ac:dyDescent="0.25">
      <c r="B35" s="39" t="s">
        <v>122</v>
      </c>
    </row>
    <row r="36" ht="12" customHeight="1" x14ac:dyDescent="0.25"/>
    <row r="37" ht="28" customHeight="1" spans="1:2" x14ac:dyDescent="0.25">
      <c r="A37" s="38" t="s">
        <v>123</v>
      </c>
      <c r="B37" s="12"/>
    </row>
    <row r="39" ht="24" customHeight="1" spans="2:2" x14ac:dyDescent="0.25">
      <c r="B39" s="39" t="s">
        <v>124</v>
      </c>
    </row>
    <row r="40" ht="24" customHeight="1" spans="2:2" x14ac:dyDescent="0.25">
      <c r="B40" s="39" t="s">
        <v>125</v>
      </c>
    </row>
    <row r="41" ht="24" customHeight="1" spans="2:2" x14ac:dyDescent="0.25">
      <c r="B41" s="39" t="s">
        <v>126</v>
      </c>
    </row>
    <row r="42" ht="24" customHeight="1" spans="2:2" x14ac:dyDescent="0.25">
      <c r="B42" s="39" t="s">
        <v>127</v>
      </c>
    </row>
    <row r="43" ht="24" customHeight="1" spans="2:2" x14ac:dyDescent="0.25">
      <c r="B43" s="39" t="s">
        <v>128</v>
      </c>
    </row>
    <row r="44" ht="24" customHeight="1" spans="2:2" x14ac:dyDescent="0.25">
      <c r="B44" s="39" t="s">
        <v>129</v>
      </c>
    </row>
    <row r="45" ht="24" customHeight="1" spans="2:2" x14ac:dyDescent="0.25">
      <c r="B45" s="39" t="s">
        <v>130</v>
      </c>
    </row>
    <row r="46" ht="12" customHeight="1" x14ac:dyDescent="0.25"/>
    <row r="47" ht="28" customHeight="1" spans="1:2" x14ac:dyDescent="0.25">
      <c r="A47" s="38" t="s">
        <v>131</v>
      </c>
      <c r="B47" s="12"/>
    </row>
    <row r="49" ht="24" customHeight="1" spans="2:2" x14ac:dyDescent="0.25">
      <c r="B49" s="39" t="s">
        <v>132</v>
      </c>
    </row>
    <row r="50" ht="24" customHeight="1" spans="2:2" x14ac:dyDescent="0.25">
      <c r="B50" s="39" t="s">
        <v>133</v>
      </c>
    </row>
    <row r="51" ht="24" customHeight="1" spans="2:2" x14ac:dyDescent="0.25">
      <c r="B51" s="39" t="s">
        <v>134</v>
      </c>
    </row>
    <row r="52" ht="24" customHeight="1" spans="2:2" x14ac:dyDescent="0.25">
      <c r="B52" s="39" t="s">
        <v>135</v>
      </c>
    </row>
    <row r="53" ht="24" customHeight="1" spans="2:2" x14ac:dyDescent="0.25">
      <c r="B53" s="39" t="s">
        <v>136</v>
      </c>
    </row>
    <row r="54" ht="12" customHeight="1" x14ac:dyDescent="0.25"/>
    <row r="55" ht="28" customHeight="1" spans="1:2" x14ac:dyDescent="0.25">
      <c r="A55" s="38" t="s">
        <v>137</v>
      </c>
      <c r="B55" s="12"/>
    </row>
    <row r="57" ht="24" customHeight="1" spans="2:2" x14ac:dyDescent="0.25">
      <c r="B57" s="39" t="s">
        <v>138</v>
      </c>
    </row>
    <row r="58" ht="24" customHeight="1" spans="2:2" x14ac:dyDescent="0.25">
      <c r="B58" s="39" t="s">
        <v>139</v>
      </c>
    </row>
    <row r="59" ht="24" customHeight="1" spans="2:2" x14ac:dyDescent="0.25">
      <c r="B59" s="39" t="s">
        <v>140</v>
      </c>
    </row>
    <row r="60" ht="12" customHeight="1" x14ac:dyDescent="0.25"/>
    <row r="61" ht="6" customHeight="1" x14ac:dyDescent="0.25"/>
    <row r="62" ht="20" customHeight="1" spans="1:2" x14ac:dyDescent="0.25">
      <c r="A62" s="40" t="s">
        <v>17</v>
      </c>
      <c r="B62" s="40"/>
    </row>
    <row r="63" ht="20" customHeight="1" spans="1:2" x14ac:dyDescent="0.25">
      <c r="A63" s="41" t="s">
        <v>18</v>
      </c>
      <c r="B63" s="41"/>
    </row>
  </sheetData>
  <mergeCells count="4">
    <mergeCell ref="A1:B1"/>
    <mergeCell ref="A2:B2"/>
    <mergeCell ref="A62:B62"/>
    <mergeCell ref="A63:B63"/>
  </mergeCells>
  <hyperlinks>
    <hyperlink ref="A63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Mortgage Setup</vt:lpstr>
      <vt:lpstr>Amortization Schedule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Home Mortgage Calculator</dc:title>
  <dc:subject>Financial Template</dc:subject>
  <dc:description>Free Home Mortgage Calculator template by FinancialAha.com</dc:description>
  <cp:keywords>finance, template, spreadsheet, FinancialAha</cp:keywords>
  <cp:category>Finance</cp:category>
  <cp:lastModifiedBy>Unknown</cp:lastModifiedBy>
  <cp:lastPrinted>2026-04-01T18:00:48Z</cp:lastPrinted>
  <dcterms:created xsi:type="dcterms:W3CDTF">2026-04-01T18:00:48Z</dcterms:created>
  <dcterms:modified xsi:type="dcterms:W3CDTF">2026-04-01T18:00:48Z</dcterms:modified>
</cp:coreProperties>
</file>