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hart1.xml" ContentType="application/vnd.openxmlformats-officedocument.drawingml.chart+xml"/>
  <Override PartName="/xl/drawings/drawing1.xml" ContentType="application/vnd.openxmlformats-officedocument.drawing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Dashboard" state="visible" r:id="rId4"/>
    <sheet sheetId="2" name="Equity &amp; Loan Setup" state="visible" r:id="rId5"/>
    <sheet sheetId="3" name="Amortization Schedule" state="visible" r:id="rId6"/>
    <sheet sheetId="4" name="How to Use" state="visible" r:id="rId7"/>
  </sheets>
  <calcPr calcId="171027"/>
</workbook>
</file>

<file path=xl/sharedStrings.xml><?xml version="1.0" encoding="utf-8"?>
<sst xmlns="http://schemas.openxmlformats.org/spreadsheetml/2006/main" count="104" uniqueCount="95">
  <si>
    <t>Home Equity Loan Calculator</t>
  </si>
  <si>
    <t>Calculate available equity and HELOC payment details</t>
  </si>
  <si>
    <t>by FinancialAha.com</t>
  </si>
  <si>
    <t>AVAILABLE EQUITY</t>
  </si>
  <si>
    <t>MONTHLY PAYMENT</t>
  </si>
  <si>
    <t>TOTAL INTEREST</t>
  </si>
  <si>
    <t>home value minus mortgage</t>
  </si>
  <si>
    <t>HELOC principal + interest</t>
  </si>
  <si>
    <t>over the life of the loan</t>
  </si>
  <si>
    <t>COMBINED LTV</t>
  </si>
  <si>
    <t>MAX BORROWABLE (80% LTV)</t>
  </si>
  <si>
    <t>TOTAL COST</t>
  </si>
  <si>
    <t>mortgage + HELOC vs home value</t>
  </si>
  <si>
    <t>based on 80% LTV limit</t>
  </si>
  <si>
    <t>loan amount + total interest</t>
  </si>
  <si>
    <t>HELOC BALANCE OVER TIME</t>
  </si>
  <si>
    <t>Created with FinancialAha.com - Free financial tools and templates</t>
  </si>
  <si>
    <t>Get a premium spreadsheet from FinancialAha.com</t>
  </si>
  <si>
    <t/>
  </si>
  <si>
    <t>Yr 1</t>
  </si>
  <si>
    <t>Yr 2</t>
  </si>
  <si>
    <t>Yr 3</t>
  </si>
  <si>
    <t>Yr 4</t>
  </si>
  <si>
    <t>Yr 5</t>
  </si>
  <si>
    <t>Yr 6</t>
  </si>
  <si>
    <t>Yr 7</t>
  </si>
  <si>
    <t>Yr 8</t>
  </si>
  <si>
    <t>Yr 9</t>
  </si>
  <si>
    <t>Yr 10</t>
  </si>
  <si>
    <t>Yr 11</t>
  </si>
  <si>
    <t>Yr 12</t>
  </si>
  <si>
    <t>Yr 13</t>
  </si>
  <si>
    <t>Yr 14</t>
  </si>
  <si>
    <t>Balance</t>
  </si>
  <si>
    <t>Equity &amp; Loan Setup</t>
  </si>
  <si>
    <t>Enter your home and loan details in the yellow cells below.</t>
  </si>
  <si>
    <t>HOME &amp; LOAN DETAILS</t>
  </si>
  <si>
    <t>Current Home Value</t>
  </si>
  <si>
    <t>Estimated current market value</t>
  </si>
  <si>
    <t>Current Mortgage Balance</t>
  </si>
  <si>
    <t>Remaining balance on primary mortgage</t>
  </si>
  <si>
    <t>Home Equity Loan Amount</t>
  </si>
  <si>
    <t>Amount you want to borrow</t>
  </si>
  <si>
    <t>Annual Interest Rate</t>
  </si>
  <si>
    <t>HELOC APR (e.g. 7.25%)</t>
  </si>
  <si>
    <t>Loan Term (years)</t>
  </si>
  <si>
    <t>5, 10, 15, or 20 years typical</t>
  </si>
  <si>
    <t>Start Date</t>
  </si>
  <si>
    <t>First payment date</t>
  </si>
  <si>
    <t>EQUITY ANALYSIS</t>
  </si>
  <si>
    <t>Total Home Equity</t>
  </si>
  <si>
    <t>Equity Percentage</t>
  </si>
  <si>
    <t>Max Borrowable (80% LTV)</t>
  </si>
  <si>
    <t>Combined LTV Ratio</t>
  </si>
  <si>
    <t>Equity After HELOC</t>
  </si>
  <si>
    <t>PAYMENT DETAILS</t>
  </si>
  <si>
    <t>Monthly Payment</t>
  </si>
  <si>
    <t>Total Interest</t>
  </si>
  <si>
    <t>Total Cost (Loan + Interest)</t>
  </si>
  <si>
    <t>HELOC Amortization Schedule</t>
  </si>
  <si>
    <t>Month-by-month home equity loan payment breakdown.</t>
  </si>
  <si>
    <t>#</t>
  </si>
  <si>
    <t>Date</t>
  </si>
  <si>
    <t>Payment</t>
  </si>
  <si>
    <t>Principal</t>
  </si>
  <si>
    <t>Interest</t>
  </si>
  <si>
    <t>Total Paid</t>
  </si>
  <si>
    <t>Cumulative Interest</t>
  </si>
  <si>
    <t>How to Use This Template</t>
  </si>
  <si>
    <t>Home Equity Loan Calculator by FinancialAha.com</t>
  </si>
  <si>
    <t>GETTING STARTED</t>
  </si>
  <si>
    <t>1. Go to the "Equity &amp; Loan Setup" sheet and enter your details in the yellow cells.</t>
  </si>
  <si>
    <t>2. Enter your Current Home Value (estimated market value).</t>
  </si>
  <si>
    <t>3. Enter your Current Mortgage Balance (remaining on your primary mortgage).</t>
  </si>
  <si>
    <t>4. Enter the Home Equity Loan Amount you want to borrow.</t>
  </si>
  <si>
    <t>5. Set the Annual Interest Rate, Loan Term, and Start Date.</t>
  </si>
  <si>
    <t>UNDERSTANDING EQUITY</t>
  </si>
  <si>
    <t>Home equity is the difference between your home's value and what you owe on it.</t>
  </si>
  <si>
    <t>Lenders typically allow borrowing up to 80% of your home's value (combined LTV).</t>
  </si>
  <si>
    <t>Combined LTV = (Mortgage Balance + HELOC Amount) / Home Value.</t>
  </si>
  <si>
    <t>A combined LTV over 80% may require higher rates or may not qualify.</t>
  </si>
  <si>
    <t>The "Max Borrowable" figure shows the most you could borrow under the 80% limit.</t>
  </si>
  <si>
    <t>UNDERSTANDING THE DASHBOARD</t>
  </si>
  <si>
    <t>Top KPIs show Available Equity, Monthly Payment, and Total Interest.</t>
  </si>
  <si>
    <t>Bottom KPIs show Combined LTV ratio, Max Borrowable amount, and Total Cost.</t>
  </si>
  <si>
    <t>The chart shows how your HELOC balance decreases over the loan term.</t>
  </si>
  <si>
    <t>HELOC VS. HOME EQUITY LOAN</t>
  </si>
  <si>
    <t>A Home Equity Loan (HEL) is a fixed-rate, fixed-term loan - like a second mortgage.</t>
  </si>
  <si>
    <t>A HELOC (Home Equity Line of Credit) typically has a variable rate and a draw period.</t>
  </si>
  <si>
    <t>This calculator models a fixed-rate home equity loan with equal monthly payments.</t>
  </si>
  <si>
    <t>For variable-rate HELOCs, the actual payments may differ from these projections.</t>
  </si>
  <si>
    <t>COMPATIBILITY</t>
  </si>
  <si>
    <t>This template works in Microsoft Excel, Google Sheets, and LibreOffice Calc.</t>
  </si>
  <si>
    <t>No macros or VBA required - everything is formula-driven.</t>
  </si>
  <si>
    <t>Yellow cells are editable inputs. Green cells contain formulas - avoid overwriting them.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</si>
</sst>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$#,##0"/>
    <numFmt numFmtId="165" formatCode="$#,##0.00"/>
    <numFmt numFmtId="166" formatCode="0.0%"/>
    <numFmt numFmtId="167" formatCode="MMM YYYY"/>
  </numFmts>
  <fonts count="21" x14ac:knownFonts="1">
    <font>
      <color theme="1"/>
      <family val="2"/>
      <scheme val="minor"/>
      <sz val="11"/>
      <name val="Calibri"/>
    </font>
    <font>
      <b/>
      <color rgb="14213D"/>
      <sz val="24"/>
      <name val="Aptos"/>
    </font>
    <font>
      <color rgb="4A4F5E"/>
      <sz val="11"/>
      <name val="Aptos"/>
    </font>
    <font>
      <i/>
      <u/>
      <color rgb="9A7B4F"/>
      <sz val="9"/>
      <name val="Aptos"/>
    </font>
    <font>
      <b/>
      <color rgb="A3A9B8"/>
      <sz val="9"/>
      <name val="Aptos"/>
    </font>
    <font>
      <b/>
      <color rgb="9A7B4F"/>
      <sz val="20"/>
      <name val="Aptos"/>
    </font>
    <font>
      <b/>
      <color rgb="1A1D26"/>
      <sz val="20"/>
      <name val="Aptos"/>
    </font>
    <font>
      <b/>
      <color rgb="B91C1C"/>
      <sz val="20"/>
      <name val="Aptos"/>
    </font>
    <font>
      <color rgb="A3A9B8"/>
      <sz val="8"/>
      <name val="Aptos"/>
    </font>
    <font>
      <b/>
      <color rgb="14213D"/>
      <sz val="11"/>
      <name val="Aptos"/>
    </font>
    <font>
      <color rgb="7C8494"/>
      <sz val="8"/>
      <name val="Aptos"/>
    </font>
    <font>
      <u/>
      <color rgb="9A7B4F"/>
      <sz val="8"/>
      <name val="Aptos"/>
    </font>
    <font>
      <color rgb="FFFFFF"/>
      <sz val="1"/>
      <name val="Aptos"/>
    </font>
    <font>
      <b/>
      <color rgb="14213D"/>
      <sz val="22"/>
      <name val="Aptos"/>
    </font>
    <font>
      <i/>
      <color rgb="7C8494"/>
      <sz val="9"/>
      <name val="Aptos"/>
    </font>
    <font>
      <b/>
      <color rgb="1A1D26"/>
      <sz val="10"/>
      <name val="Aptos"/>
    </font>
    <font>
      <color rgb="1A1D26"/>
      <sz val="10"/>
      <name val="Aptos"/>
    </font>
    <font>
      <b/>
      <color rgb="14213D"/>
      <sz val="10"/>
      <name val="Aptos"/>
    </font>
    <font>
      <b/>
      <color rgb="14213D"/>
      <sz val="16"/>
      <name val="Aptos"/>
    </font>
    <font>
      <b/>
      <color rgb="FFFFFF"/>
      <sz val="10"/>
      <name val="Aptos"/>
    </font>
    <font>
      <color rgb="4A4F5E"/>
      <sz val="10"/>
      <name val="Aptos"/>
    </font>
  </fonts>
  <fills count="6">
    <fill>
      <patternFill patternType="none"/>
    </fill>
    <fill>
      <patternFill patternType="gray125"/>
    </fill>
    <fill>
      <patternFill patternType="solid">
        <fgColor rgb="FFFCF4"/>
      </patternFill>
    </fill>
    <fill>
      <patternFill patternType="solid">
        <fgColor rgb="EEF0F7"/>
      </patternFill>
    </fill>
    <fill>
      <patternFill patternType="solid">
        <fgColor rgb="14213D"/>
      </patternFill>
    </fill>
    <fill>
      <patternFill patternType="solid">
        <fgColor rgb="F4F5F7"/>
      </patternFill>
    </fill>
  </fills>
  <borders count="8">
    <border>
      <left/>
      <right/>
      <top/>
      <bottom/>
      <diagonal/>
    </border>
    <border>
      <left style="thin">
        <color rgb="E2E4EA"/>
      </left>
      <right style="thin">
        <color rgb="E2E4EA"/>
      </right>
      <top style="thin">
        <color rgb="E2E4EA"/>
      </top>
      <bottom/>
      <diagonal/>
    </border>
    <border>
      <left style="thin">
        <color rgb="E2E4EA"/>
      </left>
      <right style="thin">
        <color rgb="E2E4EA"/>
      </right>
      <top/>
      <bottom/>
      <diagonal/>
    </border>
    <border>
      <left style="thin">
        <color rgb="E2E4EA"/>
      </left>
      <right style="thin">
        <color rgb="E2E4EA"/>
      </right>
      <top/>
      <bottom style="thin">
        <color rgb="E2E4EA"/>
      </bottom>
      <diagonal/>
    </border>
    <border>
      <left/>
      <right/>
      <top/>
      <bottom style="medium">
        <color rgb="14213D"/>
      </bottom>
      <diagonal/>
    </border>
    <border>
      <left style="thin">
        <color rgb="E3D9BD"/>
      </left>
      <right style="thin">
        <color rgb="E3D9BD"/>
      </right>
      <top style="thin">
        <color rgb="E3D9BD"/>
      </top>
      <bottom style="thin">
        <color rgb="E3D9BD"/>
      </bottom>
      <diagonal/>
    </border>
    <border>
      <left style="thin">
        <color rgb="A8B0C8"/>
      </left>
      <right style="thin">
        <color rgb="A8B0C8"/>
      </right>
      <top style="thin">
        <color rgb="A8B0C8"/>
      </top>
      <bottom style="thin">
        <color rgb="A8B0C8"/>
      </bottom>
      <diagonal/>
    </border>
    <border>
      <left/>
      <right/>
      <top/>
      <bottom style="thin">
        <color rgb="E8EAF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 applyAlignment="1" applyProtection="1">
      <alignment horizontal="left" vertical="center" indent="1"/>
    </xf>
    <xf numFmtId="0" fontId="2" fillId="0" borderId="0" xfId="0" applyFont="1" applyAlignment="1" applyProtection="1">
      <alignment horizontal="left" vertical="center" indent="1"/>
    </xf>
    <xf numFmtId="0" fontId="3" fillId="0" borderId="0" xfId="0" applyFont="1" applyAlignment="1" applyProtection="1">
      <alignment horizontal="right" vertical="center"/>
    </xf>
    <xf numFmtId="0" fontId="4" fillId="0" borderId="1" xfId="0" applyFont="1" applyBorder="1" applyAlignment="1" applyProtection="1">
      <alignment horizontal="center" vertical="bottom"/>
    </xf>
    <xf numFmtId="164" fontId="5" fillId="0" borderId="2" xfId="0" applyNumberFormat="1" applyFont="1" applyBorder="1" applyAlignment="1" applyProtection="1">
      <alignment horizontal="center" vertical="center"/>
    </xf>
    <xf numFmtId="165" fontId="6" fillId="0" borderId="2" xfId="0" applyNumberFormat="1" applyFont="1" applyBorder="1" applyAlignment="1" applyProtection="1">
      <alignment horizontal="center" vertical="center"/>
    </xf>
    <xf numFmtId="164" fontId="7" fillId="0" borderId="2" xfId="0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top"/>
    </xf>
    <xf numFmtId="166" fontId="6" fillId="0" borderId="2" xfId="0" applyNumberFormat="1" applyFont="1" applyBorder="1" applyAlignment="1" applyProtection="1">
      <alignment horizontal="center" vertical="center"/>
    </xf>
    <xf numFmtId="164" fontId="6" fillId="0" borderId="2" xfId="0" applyNumberFormat="1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left" vertical="center" indent="1"/>
    </xf>
    <xf numFmtId="0" fontId="0" fillId="0" borderId="4" xfId="0" applyBorder="1"/>
    <xf numFmtId="0" fontId="10" fillId="0" borderId="0" xfId="0" applyFont="1" applyAlignment="1" applyProtection="1">
      <alignment horizontal="left" vertical="center" indent="1"/>
    </xf>
    <xf numFmtId="0" fontId="11" fillId="0" borderId="0" xfId="0" applyFont="1" applyAlignment="1" applyProtection="1">
      <alignment horizontal="left" vertical="center" indent="1"/>
    </xf>
    <xf numFmtId="0" fontId="12" fillId="0" borderId="0" xfId="0" applyFont="1" applyProtection="1"/>
    <xf numFmtId="0" fontId="13" fillId="0" borderId="0" xfId="0" applyFont="1" applyAlignment="1" applyProtection="1">
      <alignment horizontal="left" vertical="center" indent="1"/>
    </xf>
    <xf numFmtId="0" fontId="14" fillId="0" borderId="0" xfId="0" applyFont="1" applyAlignment="1" applyProtection="1">
      <alignment horizontal="left" vertical="center" wrapText="1" indent="1"/>
    </xf>
    <xf numFmtId="0" fontId="15" fillId="0" borderId="0" xfId="0" applyFont="1" applyAlignment="1" applyProtection="1">
      <alignment horizontal="left" vertical="center" indent="1"/>
    </xf>
    <xf numFmtId="164" fontId="16" fillId="2" borderId="5" xfId="0" applyNumberFormat="1" applyFont="1" applyFill="1" applyBorder="1" applyAlignment="1" applyProtection="1">
      <alignment horizontal="right" vertical="center"/>
      <protection locked="0"/>
    </xf>
    <xf numFmtId="10" fontId="16" fillId="2" borderId="5" xfId="0" applyNumberFormat="1" applyFont="1" applyFill="1" applyBorder="1" applyAlignment="1" applyProtection="1">
      <alignment horizontal="right" vertical="center"/>
      <protection locked="0"/>
    </xf>
    <xf numFmtId="3" fontId="16" fillId="2" borderId="5" xfId="0" applyNumberFormat="1" applyFont="1" applyFill="1" applyBorder="1" applyAlignment="1" applyProtection="1">
      <alignment horizontal="right" vertical="center"/>
      <protection locked="0"/>
    </xf>
    <xf numFmtId="167" fontId="16" fillId="2" borderId="5" xfId="0" applyNumberFormat="1" applyFont="1" applyFill="1" applyBorder="1" applyAlignment="1" applyProtection="1">
      <alignment horizontal="right" vertical="center"/>
      <protection locked="0"/>
    </xf>
    <xf numFmtId="164" fontId="17" fillId="3" borderId="6" xfId="0" applyNumberFormat="1" applyFont="1" applyFill="1" applyBorder="1" applyAlignment="1" applyProtection="1">
      <alignment horizontal="right" vertical="center"/>
    </xf>
    <xf numFmtId="166" fontId="17" fillId="3" borderId="6" xfId="0" applyNumberFormat="1" applyFont="1" applyFill="1" applyBorder="1" applyAlignment="1" applyProtection="1">
      <alignment horizontal="right" vertical="center"/>
    </xf>
    <xf numFmtId="164" fontId="18" fillId="3" borderId="6" xfId="0" applyNumberFormat="1" applyFont="1" applyFill="1" applyBorder="1" applyAlignment="1" applyProtection="1">
      <alignment horizontal="center" vertical="center"/>
    </xf>
    <xf numFmtId="165" fontId="18" fillId="3" borderId="6" xfId="0" applyNumberFormat="1" applyFont="1" applyFill="1" applyBorder="1" applyAlignment="1" applyProtection="1">
      <alignment horizontal="center" vertical="center"/>
    </xf>
    <xf numFmtId="165" fontId="17" fillId="3" borderId="6" xfId="0" applyNumberFormat="1" applyFont="1" applyFill="1" applyBorder="1" applyAlignment="1" applyProtection="1">
      <alignment horizontal="right" vertical="center"/>
    </xf>
    <xf numFmtId="0" fontId="19" fillId="4" borderId="0" xfId="0" applyFont="1" applyFill="1" applyAlignment="1" applyProtection="1">
      <alignment horizontal="left" vertical="center" wrapText="1" indent="1"/>
    </xf>
    <xf numFmtId="0" fontId="19" fillId="4" borderId="0" xfId="0" applyFont="1" applyFill="1" applyAlignment="1" applyProtection="1">
      <alignment horizontal="center" vertical="center" wrapText="1"/>
    </xf>
    <xf numFmtId="0" fontId="16" fillId="0" borderId="7" xfId="0" applyFont="1" applyBorder="1" applyAlignment="1" applyProtection="1">
      <alignment vertical="center" indent="1"/>
    </xf>
    <xf numFmtId="167" fontId="16" fillId="0" borderId="7" xfId="0" applyNumberFormat="1" applyFont="1" applyBorder="1" applyAlignment="1" applyProtection="1">
      <alignment horizontal="right" vertical="center"/>
    </xf>
    <xf numFmtId="165" fontId="16" fillId="0" borderId="7" xfId="0" applyNumberFormat="1" applyFont="1" applyBorder="1" applyAlignment="1" applyProtection="1">
      <alignment horizontal="right" vertical="center"/>
    </xf>
    <xf numFmtId="0" fontId="16" fillId="5" borderId="7" xfId="0" applyFont="1" applyFill="1" applyBorder="1" applyAlignment="1" applyProtection="1">
      <alignment vertical="center" indent="1"/>
    </xf>
    <xf numFmtId="167" fontId="16" fillId="5" borderId="7" xfId="0" applyNumberFormat="1" applyFont="1" applyFill="1" applyBorder="1" applyAlignment="1" applyProtection="1">
      <alignment horizontal="right" vertical="center"/>
    </xf>
    <xf numFmtId="165" fontId="16" fillId="5" borderId="7" xfId="0" applyNumberFormat="1" applyFont="1" applyFill="1" applyBorder="1" applyAlignment="1" applyProtection="1">
      <alignment horizontal="right" vertical="center"/>
    </xf>
    <xf numFmtId="0" fontId="13" fillId="0" borderId="0" xfId="0" applyFont="1" applyAlignment="1">
      <alignment horizontal="left" vertical="center" indent="1"/>
    </xf>
    <xf numFmtId="0" fontId="14" fillId="0" borderId="0" xfId="0" applyFont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indent="1"/>
    </xf>
    <xf numFmtId="0" fontId="20" fillId="0" borderId="0" xfId="0" applyFont="1" applyAlignment="1">
      <alignment horizontal="left" vertical="center" indent="1"/>
    </xf>
    <xf numFmtId="0" fontId="10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vertical="center" inden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 sz="1200" b="1"/>
            </a:pPr>
            <a:r>
              <a:rPr lang="en-US" sz="1200" b="1"/>
              <a:t>HELOC Balance Over Time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Dashboard!$B$33</c:f>
              <c:strCache>
                <c:ptCount val="1"/>
                <c:pt idx="0">
                  <c:v>Balance</c:v>
                </c:pt>
              </c:strCache>
            </c:strRef>
          </c:tx>
          <c:spPr>
            <a:solidFill>
              <a:srgbClr val="14213D"/>
            </a:solidFill>
            <a:ln>
              <a:noFill/>
            </a:ln>
          </c:spPr>
          <c:cat>
            <c:strRef>
              <c:f>Dashboard!$C$32:$R$32</c:f>
              <c:strCache>
                <c:ptCount val="16"/>
                <c:pt idx="0">
                  <c:v>Yr 1</c:v>
                </c:pt>
                <c:pt idx="1">
                  <c:v>Yr 1</c:v>
                </c:pt>
                <c:pt idx="2">
                  <c:v>Yr 2</c:v>
                </c:pt>
                <c:pt idx="3">
                  <c:v>Yr 3</c:v>
                </c:pt>
                <c:pt idx="4">
                  <c:v>Yr 4</c:v>
                </c:pt>
                <c:pt idx="5">
                  <c:v>Yr 5</c:v>
                </c:pt>
                <c:pt idx="6">
                  <c:v>Yr 6</c:v>
                </c:pt>
                <c:pt idx="7">
                  <c:v>Yr 7</c:v>
                </c:pt>
                <c:pt idx="8">
                  <c:v>Yr 8</c:v>
                </c:pt>
                <c:pt idx="9">
                  <c:v>Yr 9</c:v>
                </c:pt>
                <c:pt idx="10">
                  <c:v>Yr 10</c:v>
                </c:pt>
                <c:pt idx="11">
                  <c:v>Yr 11</c:v>
                </c:pt>
                <c:pt idx="12">
                  <c:v>Yr 12</c:v>
                </c:pt>
                <c:pt idx="13">
                  <c:v>Yr 12</c:v>
                </c:pt>
                <c:pt idx="14">
                  <c:v>Yr 13</c:v>
                </c:pt>
                <c:pt idx="15">
                  <c:v>Yr 14</c:v>
                </c:pt>
              </c:strCache>
            </c:strRef>
          </c:cat>
          <c:val>
            <c:numRef>
              <c:f>Dashboard!$C$33:$R$33</c:f>
              <c:numCache>
                <c:formatCode>$#,##0</c:formatCode>
                <c:ptCount val="16"/>
                <c:pt idx="0">
                  <c:v>49845.65</c:v>
                </c:pt>
                <c:pt idx="1">
                  <c:v>48085.02</c:v>
                </c:pt>
                <c:pt idx="2">
                  <c:v>46203.79</c:v>
                </c:pt>
                <c:pt idx="3">
                  <c:v>44193.7</c:v>
                </c:pt>
                <c:pt idx="4">
                  <c:v>42045.9</c:v>
                </c:pt>
                <c:pt idx="5">
                  <c:v>39750.98</c:v>
                </c:pt>
                <c:pt idx="6">
                  <c:v>37298.85</c:v>
                </c:pt>
                <c:pt idx="7">
                  <c:v>34678.74</c:v>
                </c:pt>
                <c:pt idx="8">
                  <c:v>31879.16</c:v>
                </c:pt>
                <c:pt idx="9">
                  <c:v>28887.79</c:v>
                </c:pt>
                <c:pt idx="10">
                  <c:v>25691.51</c:v>
                </c:pt>
                <c:pt idx="11">
                  <c:v>22276.27</c:v>
                </c:pt>
                <c:pt idx="12">
                  <c:v>18627.1</c:v>
                </c:pt>
                <c:pt idx="13">
                  <c:v>14727.92</c:v>
                </c:pt>
                <c:pt idx="14">
                  <c:v>10561.65</c:v>
                </c:pt>
                <c:pt idx="15">
                  <c:v>6109.98</c:v>
                </c:pt>
              </c:numCache>
            </c:numRef>
          </c:val>
        </c:ser>
        <c:axId val="111111111"/>
        <c:axId val="222222222"/>
      </c:lineChart>
      <c:catAx>
        <c:axId val="111111111"/>
        <c:scaling>
          <c:orientation val="minMax"/>
        </c:scaling>
        <c:delete val="0"/>
        <c:axPos val="b"/>
        <c:tickLblPos val="nextTo"/>
        <c:crossAx val="222222222"/>
        <c:crosses val="autoZero"/>
        <c:auto val="1"/>
        <c:lblAlgn val="ctr"/>
        <c:lblOffset val="100"/>
      </c:catAx>
      <c:valAx>
        <c:axId val="222222222"/>
        <c:scaling>
          <c:orientation val="minMax"/>
        </c:scaling>
        <c:delete val="0"/>
        <c:axPos val="l"/>
        <c:majorGridlines/>
        <c:numFmt formatCode="$#,##0" sourceLinked="0"/>
        <c:tickLblPos val="nextTo"/>
        <c:crossAx val="111111111"/>
        <c:crosses val="autoZero"/>
        <c:crossBetween val="between"/>
      </c:valAx>
    </c:plotArea>
    <c:legend>
      <c:legendPos val="b"/>
      <c:overlay val="0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15</xdr:row>
      <xdr:rowOff>0</xdr:rowOff>
    </xdr:from>
    <xdr:to>
      <xdr:col>9</xdr:col>
      <xdr:colOff>0</xdr:colOff>
      <xdr:row>30</xdr:row>
      <xdr:rowOff>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?ref=excel-free" TargetMode="External"/><Relationship Id="rId2" Type="http://schemas.openxmlformats.org/officeDocument/2006/relationships/hyperlink" Target="https://www.financialaha.com/spreadsheet-templates/?ref=excel-free" TargetMode="External"/><Relationship Id="rIdDrawing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3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_rels/sheet4.xml.rels><?xml version="1.0" encoding="UTF-8" standalone="yes"?>
<Relationships xmlns="http://schemas.openxmlformats.org/package/2006/relationships"><Relationship Id="rId1" Type="http://schemas.openxmlformats.org/officeDocument/2006/relationships/hyperlink" Target="https://www.financialaha.com/spreadsheet-templates/?ref=excel-fr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14213D"/>
    <pageSetUpPr fitToPage="1"/>
  </sheetPr>
  <dimension ref="A1:R33"/>
  <sheetViews>
    <sheetView workbookViewId="0" showGridLines="0" zoomScale="125"/>
  </sheetViews>
  <sheetFormatPr defaultRowHeight="15" outlineLevelRow="0" outlineLevelCol="0" x14ac:dyDescent="55"/>
  <cols>
    <col min="1" max="1" width="2" customWidth="1"/>
    <col min="2" max="9" width="14" customWidth="1"/>
    <col min="10" max="10" width="2" customWidth="1"/>
  </cols>
  <sheetData>
    <row r="1" ht="56" customHeight="1" spans="2:9" x14ac:dyDescent="0.25">
      <c r="B1" s="1" t="s">
        <v>0</v>
      </c>
      <c r="C1" s="1"/>
      <c r="D1" s="1"/>
      <c r="E1" s="1"/>
      <c r="F1" s="1"/>
      <c r="G1" s="1"/>
      <c r="H1" s="1"/>
      <c r="I1" s="1"/>
    </row>
    <row r="2" ht="20" customHeight="1" spans="2:9" x14ac:dyDescent="0.25">
      <c r="B2" s="2" t="s">
        <v>1</v>
      </c>
      <c r="C2" s="2"/>
      <c r="D2" s="2"/>
      <c r="E2" s="2"/>
      <c r="F2" s="2"/>
      <c r="G2" s="3" t="s">
        <v>2</v>
      </c>
      <c r="H2" s="3"/>
      <c r="I2" s="3"/>
    </row>
    <row r="3" ht="10" customHeight="1" x14ac:dyDescent="0.25"/>
    <row r="4" ht="22" customHeight="1" spans="2:9" x14ac:dyDescent="0.25">
      <c r="B4" s="4" t="s">
        <v>3</v>
      </c>
      <c r="C4" s="4"/>
      <c r="E4" s="4" t="s">
        <v>4</v>
      </c>
      <c r="F4" s="4"/>
      <c r="H4" s="4" t="s">
        <v>5</v>
      </c>
      <c r="I4" s="4"/>
    </row>
    <row r="5" ht="48" customHeight="1" spans="2:9" x14ac:dyDescent="0.25">
      <c r="B5" s="5">
        <f>'Equity &amp; Loan Setup'!B13</f>
        <v>170000</v>
      </c>
      <c r="C5" s="5"/>
      <c r="E5" s="6">
        <f>'Equity &amp; Loan Setup'!B20</f>
        <v>456.43</v>
      </c>
      <c r="F5" s="6"/>
      <c r="H5" s="7">
        <f>'Equity &amp; Loan Setup'!B21</f>
        <v>32157.84</v>
      </c>
      <c r="I5" s="7"/>
    </row>
    <row r="6" ht="20" customHeight="1" spans="2:9" x14ac:dyDescent="0.25">
      <c r="B6" s="8" t="s">
        <v>6</v>
      </c>
      <c r="C6" s="8"/>
      <c r="E6" s="8" t="s">
        <v>7</v>
      </c>
      <c r="F6" s="8"/>
      <c r="H6" s="8" t="s">
        <v>8</v>
      </c>
      <c r="I6" s="8"/>
    </row>
    <row r="7" ht="8" customHeight="1" x14ac:dyDescent="0.25"/>
    <row r="8" ht="22" customHeight="1" spans="2:9" x14ac:dyDescent="0.25">
      <c r="B8" s="4" t="s">
        <v>9</v>
      </c>
      <c r="C8" s="4"/>
      <c r="E8" s="4" t="s">
        <v>10</v>
      </c>
      <c r="F8" s="4"/>
      <c r="H8" s="4" t="s">
        <v>11</v>
      </c>
      <c r="I8" s="4"/>
    </row>
    <row r="9" ht="48" customHeight="1" spans="2:9" x14ac:dyDescent="0.25">
      <c r="B9" s="9">
        <f>'Equity &amp; Loan Setup'!B16</f>
        <v>0.7333333333333333</v>
      </c>
      <c r="C9" s="9"/>
      <c r="E9" s="10">
        <f>'Equity &amp; Loan Setup'!B15</f>
        <v>80000</v>
      </c>
      <c r="F9" s="10"/>
      <c r="H9" s="10">
        <f>'Equity &amp; Loan Setup'!B22</f>
        <v>82157.84</v>
      </c>
      <c r="I9" s="10"/>
    </row>
    <row r="10" ht="20" customHeight="1" spans="2:9" x14ac:dyDescent="0.25">
      <c r="B10" s="8" t="s">
        <v>12</v>
      </c>
      <c r="C10" s="8"/>
      <c r="E10" s="8" t="s">
        <v>13</v>
      </c>
      <c r="F10" s="8"/>
      <c r="H10" s="8" t="s">
        <v>14</v>
      </c>
      <c r="I10" s="8"/>
    </row>
    <row r="11" ht="14" customHeight="1" x14ac:dyDescent="0.25"/>
    <row r="12" ht="28" customHeight="1" spans="2:9" x14ac:dyDescent="0.25">
      <c r="B12" s="11" t="s">
        <v>15</v>
      </c>
      <c r="C12" s="12"/>
      <c r="D12" s="12"/>
      <c r="E12" s="12"/>
      <c r="F12" s="12"/>
      <c r="G12" s="12"/>
      <c r="H12" s="12"/>
      <c r="I12" s="12"/>
    </row>
    <row r="13" ht="18" customHeight="1" x14ac:dyDescent="0.25"/>
    <row r="14" ht="18" customHeight="1" x14ac:dyDescent="0.25"/>
    <row r="15" ht="18" customHeight="1" x14ac:dyDescent="0.25"/>
    <row r="16" ht="18" customHeight="1" x14ac:dyDescent="0.25"/>
    <row r="17" ht="18" customHeight="1" x14ac:dyDescent="0.25"/>
    <row r="18" ht="18" customHeight="1" x14ac:dyDescent="0.25"/>
    <row r="19" ht="18" customHeight="1" x14ac:dyDescent="0.25"/>
    <row r="20" ht="18" customHeight="1" x14ac:dyDescent="0.25"/>
    <row r="21" ht="18" customHeight="1" x14ac:dyDescent="0.25"/>
    <row r="22" ht="18" customHeight="1" x14ac:dyDescent="0.25"/>
    <row r="23" ht="18" customHeight="1" x14ac:dyDescent="0.25"/>
    <row r="24" ht="18" customHeight="1" x14ac:dyDescent="0.25"/>
    <row r="25" ht="18" customHeight="1" x14ac:dyDescent="0.25"/>
    <row r="26" ht="18" customHeight="1" x14ac:dyDescent="0.25"/>
    <row r="27" ht="18" customHeight="1" x14ac:dyDescent="0.25"/>
    <row r="28" ht="14" customHeight="1" x14ac:dyDescent="0.25"/>
    <row r="29" ht="6" customHeight="1" x14ac:dyDescent="0.25"/>
    <row r="30" ht="20" customHeight="1" spans="1:9" x14ac:dyDescent="0.25">
      <c r="A30" s="13" t="s">
        <v>16</v>
      </c>
      <c r="B30" s="13"/>
      <c r="C30" s="13"/>
      <c r="D30" s="13"/>
      <c r="E30" s="13"/>
      <c r="F30" s="13"/>
      <c r="G30" s="13"/>
      <c r="H30" s="13"/>
      <c r="I30" s="13"/>
    </row>
    <row r="31" ht="20" customHeight="1" spans="1:9" x14ac:dyDescent="0.25">
      <c r="A31" s="14" t="s">
        <v>17</v>
      </c>
      <c r="B31" s="14"/>
      <c r="C31" s="14"/>
      <c r="D31" s="14"/>
      <c r="E31" s="14"/>
      <c r="F31" s="14"/>
      <c r="G31" s="14"/>
      <c r="H31" s="14"/>
      <c r="I31" s="14"/>
    </row>
    <row r="32" ht="1" customHeight="1" spans="2:18" x14ac:dyDescent="0.25">
      <c r="B32" s="15" t="s">
        <v>18</v>
      </c>
      <c r="C32" s="15" t="s">
        <v>19</v>
      </c>
      <c r="D32" s="15" t="s">
        <v>19</v>
      </c>
      <c r="E32" s="15" t="s">
        <v>20</v>
      </c>
      <c r="F32" s="15" t="s">
        <v>21</v>
      </c>
      <c r="G32" s="15" t="s">
        <v>22</v>
      </c>
      <c r="H32" s="15" t="s">
        <v>23</v>
      </c>
      <c r="I32" s="15" t="s">
        <v>24</v>
      </c>
      <c r="J32" s="15" t="s">
        <v>25</v>
      </c>
      <c r="K32" s="15" t="s">
        <v>26</v>
      </c>
      <c r="L32" s="15" t="s">
        <v>27</v>
      </c>
      <c r="M32" s="15" t="s">
        <v>28</v>
      </c>
      <c r="N32" s="15" t="s">
        <v>29</v>
      </c>
      <c r="O32" s="15" t="s">
        <v>30</v>
      </c>
      <c r="P32" s="15" t="s">
        <v>30</v>
      </c>
      <c r="Q32" s="15" t="s">
        <v>31</v>
      </c>
      <c r="R32" s="15" t="s">
        <v>32</v>
      </c>
    </row>
    <row r="33" ht="1" customHeight="1" spans="2:18" x14ac:dyDescent="0.25">
      <c r="B33" s="15" t="s">
        <v>33</v>
      </c>
      <c r="C33" s="15">
        <f>IFERROR('Amortization Schedule'!G5,0)</f>
        <v>49845.65</v>
      </c>
      <c r="D33" s="15">
        <f>IFERROR('Amortization Schedule'!G16,0)</f>
        <v>48085.02</v>
      </c>
      <c r="E33" s="15">
        <f>IFERROR('Amortization Schedule'!G27,0)</f>
        <v>46203.79</v>
      </c>
      <c r="F33" s="15">
        <f>IFERROR('Amortization Schedule'!G38,0)</f>
        <v>44193.7</v>
      </c>
      <c r="G33" s="15">
        <f>IFERROR('Amortization Schedule'!G49,0)</f>
        <v>42045.9</v>
      </c>
      <c r="H33" s="15">
        <f>IFERROR('Amortization Schedule'!G60,0)</f>
        <v>39750.98</v>
      </c>
      <c r="I33" s="15">
        <f>IFERROR('Amortization Schedule'!G71,0)</f>
        <v>37298.85</v>
      </c>
      <c r="J33" s="15">
        <f>IFERROR('Amortization Schedule'!G82,0)</f>
        <v>34678.74</v>
      </c>
      <c r="K33" s="15">
        <f>IFERROR('Amortization Schedule'!G93,0)</f>
        <v>31879.16</v>
      </c>
      <c r="L33" s="15">
        <f>IFERROR('Amortization Schedule'!G104,0)</f>
        <v>28887.79</v>
      </c>
      <c r="M33" s="15">
        <f>IFERROR('Amortization Schedule'!G115,0)</f>
        <v>25691.51</v>
      </c>
      <c r="N33" s="15">
        <f>IFERROR('Amortization Schedule'!G126,0)</f>
        <v>22276.27</v>
      </c>
      <c r="O33" s="15">
        <f>IFERROR('Amortization Schedule'!G137,0)</f>
        <v>18627.1</v>
      </c>
      <c r="P33" s="15">
        <f>IFERROR('Amortization Schedule'!G148,0)</f>
        <v>14727.92</v>
      </c>
      <c r="Q33" s="15">
        <f>IFERROR('Amortization Schedule'!G159,0)</f>
        <v>10561.65</v>
      </c>
      <c r="R33" s="15">
        <f>IFERROR('Amortization Schedule'!G170,0)</f>
        <v>6109.98</v>
      </c>
    </row>
  </sheetData>
  <sheetProtection sheet="1"/>
  <mergeCells count="23">
    <mergeCell ref="B1:I1"/>
    <mergeCell ref="B2:F2"/>
    <mergeCell ref="G2:I2"/>
    <mergeCell ref="B4:C4"/>
    <mergeCell ref="E4:F4"/>
    <mergeCell ref="H4:I4"/>
    <mergeCell ref="B5:C5"/>
    <mergeCell ref="E5:F5"/>
    <mergeCell ref="H5:I5"/>
    <mergeCell ref="B6:C6"/>
    <mergeCell ref="E6:F6"/>
    <mergeCell ref="H6:I6"/>
    <mergeCell ref="B8:C8"/>
    <mergeCell ref="E8:F8"/>
    <mergeCell ref="H8:I8"/>
    <mergeCell ref="B9:C9"/>
    <mergeCell ref="E9:F9"/>
    <mergeCell ref="H9:I9"/>
    <mergeCell ref="B10:C10"/>
    <mergeCell ref="E10:F10"/>
    <mergeCell ref="H10:I10"/>
    <mergeCell ref="A30:I30"/>
    <mergeCell ref="A31:I31"/>
  </mergeCells>
  <hyperlinks>
    <hyperlink ref="G2" r:id="rId1"/>
    <hyperlink ref="A31" r:id="rId2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  <drawing r:id="rIdDrawing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C26"/>
  <sheetViews>
    <sheetView workbookViewId="0" showGridLines="0" zoomScale="125"/>
  </sheetViews>
  <sheetFormatPr defaultRowHeight="15" outlineLevelRow="0" outlineLevelCol="0" x14ac:dyDescent="55"/>
  <cols>
    <col min="1" max="1" width="32" customWidth="1"/>
    <col min="2" max="2" width="20" customWidth="1"/>
    <col min="3" max="3" width="32" customWidth="1"/>
  </cols>
  <sheetData>
    <row r="1" ht="48" customHeight="1" spans="1:3" x14ac:dyDescent="0.25">
      <c r="A1" s="16" t="s">
        <v>34</v>
      </c>
      <c r="B1" s="16"/>
      <c r="C1" s="16"/>
    </row>
    <row r="2" ht="24" customHeight="1" spans="1:3" x14ac:dyDescent="0.25">
      <c r="A2" s="17" t="s">
        <v>35</v>
      </c>
      <c r="B2" s="17"/>
      <c r="C2" s="17"/>
    </row>
    <row r="3" ht="14" customHeight="1" x14ac:dyDescent="0.25"/>
    <row r="4" ht="28" customHeight="1" spans="1:3" x14ac:dyDescent="0.25">
      <c r="A4" s="11" t="s">
        <v>36</v>
      </c>
      <c r="B4" s="12"/>
      <c r="C4" s="12"/>
    </row>
    <row r="5" ht="26" customHeight="1" spans="1:3" x14ac:dyDescent="0.25">
      <c r="A5" s="18" t="s">
        <v>37</v>
      </c>
      <c r="B5" s="19">
        <v>450000</v>
      </c>
      <c r="C5" s="17" t="s">
        <v>38</v>
      </c>
    </row>
    <row r="6" ht="26" customHeight="1" spans="1:3" x14ac:dyDescent="0.25">
      <c r="A6" s="18" t="s">
        <v>39</v>
      </c>
      <c r="B6" s="19">
        <v>280000</v>
      </c>
      <c r="C6" s="17" t="s">
        <v>40</v>
      </c>
    </row>
    <row r="7" ht="26" customHeight="1" spans="1:3" x14ac:dyDescent="0.25">
      <c r="A7" s="18" t="s">
        <v>41</v>
      </c>
      <c r="B7" s="19">
        <v>50000</v>
      </c>
      <c r="C7" s="17" t="s">
        <v>42</v>
      </c>
    </row>
    <row r="8" ht="26" customHeight="1" spans="1:3" x14ac:dyDescent="0.25">
      <c r="A8" s="18" t="s">
        <v>43</v>
      </c>
      <c r="B8" s="20">
        <v>0.0725</v>
      </c>
      <c r="C8" s="17" t="s">
        <v>44</v>
      </c>
    </row>
    <row r="9" ht="26" customHeight="1" spans="1:3" x14ac:dyDescent="0.25">
      <c r="A9" s="18" t="s">
        <v>45</v>
      </c>
      <c r="B9" s="21">
        <v>15</v>
      </c>
      <c r="C9" s="17" t="s">
        <v>46</v>
      </c>
    </row>
    <row r="10" ht="26" customHeight="1" spans="1:3" x14ac:dyDescent="0.25">
      <c r="A10" s="18" t="s">
        <v>47</v>
      </c>
      <c r="B10" s="22">
        <v>46023</v>
      </c>
      <c r="C10" s="17" t="s">
        <v>48</v>
      </c>
    </row>
    <row r="11" ht="14" customHeight="1" x14ac:dyDescent="0.25"/>
    <row r="12" ht="28" customHeight="1" spans="1:3" x14ac:dyDescent="0.25">
      <c r="A12" s="11" t="s">
        <v>49</v>
      </c>
      <c r="B12" s="12"/>
      <c r="C12" s="12"/>
    </row>
    <row r="13" ht="26" customHeight="1" spans="1:2" x14ac:dyDescent="0.25">
      <c r="A13" s="18" t="s">
        <v>50</v>
      </c>
      <c r="B13" s="23">
        <f>B5-B6</f>
        <v>170000</v>
      </c>
    </row>
    <row r="14" ht="26" customHeight="1" spans="1:2" x14ac:dyDescent="0.25">
      <c r="A14" s="18" t="s">
        <v>51</v>
      </c>
      <c r="B14" s="24">
        <f>IF(B5=0,0,(B5-B6)/B5)</f>
        <v>0.37777777777777777</v>
      </c>
    </row>
    <row r="15" ht="26" customHeight="1" spans="1:2" x14ac:dyDescent="0.25">
      <c r="A15" s="18" t="s">
        <v>52</v>
      </c>
      <c r="B15" s="23">
        <f>MAX(B5*0.8-B6,0)</f>
        <v>80000</v>
      </c>
    </row>
    <row r="16" ht="26" customHeight="1" spans="1:2" x14ac:dyDescent="0.25">
      <c r="A16" s="18" t="s">
        <v>53</v>
      </c>
      <c r="B16" s="24">
        <f>IF(B5=0,0,(B6+B7)/B5)</f>
        <v>0.7333333333333333</v>
      </c>
    </row>
    <row r="17" ht="24" customHeight="1" spans="1:2" x14ac:dyDescent="0.25">
      <c r="A17" s="18" t="s">
        <v>54</v>
      </c>
      <c r="B17" s="25">
        <f>B5-B6-B7</f>
        <v>120000</v>
      </c>
    </row>
    <row r="18" ht="14" customHeight="1" x14ac:dyDescent="0.25"/>
    <row r="19" ht="28" customHeight="1" spans="1:3" x14ac:dyDescent="0.25">
      <c r="A19" s="11" t="s">
        <v>55</v>
      </c>
      <c r="B19" s="12"/>
      <c r="C19" s="12"/>
    </row>
    <row r="20" ht="24" customHeight="1" spans="1:2" x14ac:dyDescent="0.25">
      <c r="A20" s="18" t="s">
        <v>56</v>
      </c>
      <c r="B20" s="26">
        <f>IF(B8=0,B7/(B9*12),ROUND(B7*(B8/12*(1+B8/12)^(B9*12))/((1+B8/12)^(B9*12)-1),2))</f>
        <v>456.43</v>
      </c>
    </row>
    <row r="21" ht="26" customHeight="1" spans="1:2" x14ac:dyDescent="0.25">
      <c r="A21" s="18" t="s">
        <v>57</v>
      </c>
      <c r="B21" s="27">
        <f>IFERROR(SUM('Amortization Schedule'!E5:E184),0)</f>
        <v>32157.84</v>
      </c>
    </row>
    <row r="22" ht="26" customHeight="1" spans="1:2" x14ac:dyDescent="0.25">
      <c r="A22" s="18" t="s">
        <v>58</v>
      </c>
      <c r="B22" s="23">
        <f>B7+B21</f>
        <v>82157.84</v>
      </c>
    </row>
    <row r="23" ht="14" customHeight="1" x14ac:dyDescent="0.25"/>
    <row r="24" ht="6" customHeight="1" x14ac:dyDescent="0.25"/>
    <row r="25" ht="20" customHeight="1" spans="1:3" x14ac:dyDescent="0.25">
      <c r="A25" s="13" t="s">
        <v>16</v>
      </c>
      <c r="B25" s="13"/>
      <c r="C25" s="13"/>
    </row>
    <row r="26" ht="20" customHeight="1" spans="1:3" x14ac:dyDescent="0.25">
      <c r="A26" s="14" t="s">
        <v>17</v>
      </c>
      <c r="B26" s="14"/>
      <c r="C26" s="14"/>
    </row>
  </sheetData>
  <sheetProtection sheet="1"/>
  <mergeCells count="4">
    <mergeCell ref="A1:C1"/>
    <mergeCell ref="A2:C2"/>
    <mergeCell ref="A25:C25"/>
    <mergeCell ref="A26:C26"/>
  </mergeCells>
  <hyperlinks>
    <hyperlink ref="A26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2C3E6B"/>
    <pageSetUpPr fitToPage="1"/>
  </sheetPr>
  <dimension ref="A1:H188"/>
  <sheetViews>
    <sheetView workbookViewId="0" showGridLines="0" zoomScale="10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8" customWidth="1"/>
    <col min="2" max="2" width="12" customWidth="1"/>
    <col min="3" max="6" width="14" customWidth="1"/>
    <col min="7" max="8" width="16" customWidth="1"/>
  </cols>
  <sheetData>
    <row r="1" ht="48" customHeight="1" spans="1:8" x14ac:dyDescent="0.25">
      <c r="A1" s="16" t="s">
        <v>59</v>
      </c>
      <c r="B1" s="16"/>
      <c r="C1" s="16"/>
      <c r="D1" s="16"/>
      <c r="E1" s="16"/>
      <c r="F1" s="16"/>
      <c r="G1" s="16"/>
      <c r="H1" s="16"/>
    </row>
    <row r="2" ht="24" customHeight="1" spans="1:8" x14ac:dyDescent="0.25">
      <c r="A2" s="17" t="s">
        <v>60</v>
      </c>
      <c r="B2" s="17"/>
      <c r="C2" s="17"/>
      <c r="D2" s="17"/>
      <c r="E2" s="17"/>
      <c r="F2" s="17"/>
      <c r="G2" s="17"/>
      <c r="H2" s="17"/>
    </row>
    <row r="3" ht="14" customHeight="1" x14ac:dyDescent="0.25"/>
    <row r="4" ht="32" customHeight="1" spans="1:8" x14ac:dyDescent="0.25">
      <c r="A4" s="28" t="s">
        <v>61</v>
      </c>
      <c r="B4" s="29" t="s">
        <v>62</v>
      </c>
      <c r="C4" s="29" t="s">
        <v>63</v>
      </c>
      <c r="D4" s="29" t="s">
        <v>64</v>
      </c>
      <c r="E4" s="29" t="s">
        <v>65</v>
      </c>
      <c r="F4" s="29" t="s">
        <v>66</v>
      </c>
      <c r="G4" s="29" t="s">
        <v>33</v>
      </c>
      <c r="H4" s="29" t="s">
        <v>67</v>
      </c>
    </row>
    <row r="5" ht="26" customHeight="1" spans="1:8" x14ac:dyDescent="0.25">
      <c r="A5" s="30">
        <f>IF('Equity &amp; Loan Setup'!B7&gt;0,1,"")</f>
        <v>1</v>
      </c>
      <c r="B5" s="31">
        <f>IF(A5="","",'Equity &amp; Loan Setup'!B10)</f>
        <v>46023</v>
      </c>
      <c r="C5" s="32">
        <f>IF(A5="",0,IF('Equity &amp; Loan Setup'!B7&lt;=0,0,MIN('Equity &amp; Loan Setup'!B20,'Equity &amp; Loan Setup'!B7*(1+'Equity &amp; Loan Setup'!B8/12))))</f>
        <v>456.43</v>
      </c>
      <c r="D5" s="32">
        <f>IF(A5="",0,IF('Equity &amp; Loan Setup'!B7&lt;=0,0,MIN(C5-E5,'Equity &amp; Loan Setup'!B7)))</f>
        <v>154.35</v>
      </c>
      <c r="E5" s="32">
        <f>IF(A5="",0,IF('Equity &amp; Loan Setup'!B7&lt;=0,0,ROUND('Equity &amp; Loan Setup'!B7*('Equity &amp; Loan Setup'!B8/12),2)))</f>
        <v>302.08</v>
      </c>
      <c r="F5" s="32">
        <f>IF(A5="",0,C5)</f>
        <v>456.43</v>
      </c>
      <c r="G5" s="32">
        <f>IF(A5="",0,MAX('Equity &amp; Loan Setup'!B7-D5,0))</f>
        <v>49845.65</v>
      </c>
      <c r="H5" s="32">
        <f>IF(A5="",0,E5)</f>
        <v>302.08</v>
      </c>
    </row>
    <row r="6" ht="26" customHeight="1" spans="1:8" x14ac:dyDescent="0.25">
      <c r="A6" s="33">
        <f>IF(G5&gt;0,2,"")</f>
        <v>2</v>
      </c>
      <c r="B6" s="34">
        <f>IF(A6="","",DATE(YEAR('Equity &amp; Loan Setup'!B10),MONTH('Equity &amp; Loan Setup'!B10)+1,DAY('Equity &amp; Loan Setup'!B10)))</f>
        <v>46054</v>
      </c>
      <c r="C6" s="35">
        <f>IF(A6="",0,IF(G5&lt;=0,0,MIN('Equity &amp; Loan Setup'!B20,G5*(1+'Equity &amp; Loan Setup'!B8/12))))</f>
        <v>456.43</v>
      </c>
      <c r="D6" s="35">
        <f>IF(A6="",0,IF(G5&lt;=0,0,MIN(C6-E6,G5)))</f>
        <v>155.28</v>
      </c>
      <c r="E6" s="35">
        <f>IF(A6="",0,IF(G5&lt;=0,0,ROUND(G5*('Equity &amp; Loan Setup'!B8/12),2)))</f>
        <v>301.15</v>
      </c>
      <c r="F6" s="35">
        <f>IF(A6="",0,F5+C6)</f>
        <v>912.86</v>
      </c>
      <c r="G6" s="35">
        <f>IF(A6="",0,MAX(G5-D6,0))</f>
        <v>49690.37</v>
      </c>
      <c r="H6" s="35">
        <f>IF(A6="",0,H5+E6)</f>
        <v>603.23</v>
      </c>
    </row>
    <row r="7" ht="26" customHeight="1" spans="1:8" x14ac:dyDescent="0.25">
      <c r="A7" s="30">
        <f>IF(G6&gt;0,3,"")</f>
        <v>3</v>
      </c>
      <c r="B7" s="31">
        <f>IF(A7="","",DATE(YEAR('Equity &amp; Loan Setup'!B10),MONTH('Equity &amp; Loan Setup'!B10)+2,DAY('Equity &amp; Loan Setup'!B10)))</f>
        <v>46082</v>
      </c>
      <c r="C7" s="32">
        <f>IF(A7="",0,IF(G6&lt;=0,0,MIN('Equity &amp; Loan Setup'!B20,G6*(1+'Equity &amp; Loan Setup'!B8/12))))</f>
        <v>456.43</v>
      </c>
      <c r="D7" s="32">
        <f>IF(A7="",0,IF(G6&lt;=0,0,MIN(C7-E7,G6)))</f>
        <v>156.22</v>
      </c>
      <c r="E7" s="32">
        <f>IF(A7="",0,IF(G6&lt;=0,0,ROUND(G6*('Equity &amp; Loan Setup'!B8/12),2)))</f>
        <v>300.21</v>
      </c>
      <c r="F7" s="32">
        <f>IF(A7="",0,F6+C7)</f>
        <v>1369.29</v>
      </c>
      <c r="G7" s="32">
        <f>IF(A7="",0,MAX(G6-D7,0))</f>
        <v>49534.15</v>
      </c>
      <c r="H7" s="32">
        <f>IF(A7="",0,H6+E7)</f>
        <v>903.44</v>
      </c>
    </row>
    <row r="8" ht="26" customHeight="1" spans="1:8" x14ac:dyDescent="0.25">
      <c r="A8" s="33">
        <f>IF(G7&gt;0,4,"")</f>
        <v>4</v>
      </c>
      <c r="B8" s="34">
        <f>IF(A8="","",DATE(YEAR('Equity &amp; Loan Setup'!B10),MONTH('Equity &amp; Loan Setup'!B10)+3,DAY('Equity &amp; Loan Setup'!B10)))</f>
        <v>46113</v>
      </c>
      <c r="C8" s="35">
        <f>IF(A8="",0,IF(G7&lt;=0,0,MIN('Equity &amp; Loan Setup'!B20,G7*(1+'Equity &amp; Loan Setup'!B8/12))))</f>
        <v>456.43</v>
      </c>
      <c r="D8" s="35">
        <f>IF(A8="",0,IF(G7&lt;=0,0,MIN(C8-E8,G7)))</f>
        <v>157.16</v>
      </c>
      <c r="E8" s="35">
        <f>IF(A8="",0,IF(G7&lt;=0,0,ROUND(G7*('Equity &amp; Loan Setup'!B8/12),2)))</f>
        <v>299.27</v>
      </c>
      <c r="F8" s="35">
        <f>IF(A8="",0,F7+C8)</f>
        <v>1825.72</v>
      </c>
      <c r="G8" s="35">
        <f>IF(A8="",0,MAX(G7-D8,0))</f>
        <v>49376.99</v>
      </c>
      <c r="H8" s="35">
        <f>IF(A8="",0,H7+E8)</f>
        <v>1202.71</v>
      </c>
    </row>
    <row r="9" ht="26" customHeight="1" spans="1:8" x14ac:dyDescent="0.25">
      <c r="A9" s="30">
        <f>IF(G8&gt;0,5,"")</f>
        <v>5</v>
      </c>
      <c r="B9" s="31">
        <f>IF(A9="","",DATE(YEAR('Equity &amp; Loan Setup'!B10),MONTH('Equity &amp; Loan Setup'!B10)+4,DAY('Equity &amp; Loan Setup'!B10)))</f>
        <v>46143</v>
      </c>
      <c r="C9" s="32">
        <f>IF(A9="",0,IF(G8&lt;=0,0,MIN('Equity &amp; Loan Setup'!B20,G8*(1+'Equity &amp; Loan Setup'!B8/12))))</f>
        <v>456.43</v>
      </c>
      <c r="D9" s="32">
        <f>IF(A9="",0,IF(G8&lt;=0,0,MIN(C9-E9,G8)))</f>
        <v>158.11</v>
      </c>
      <c r="E9" s="32">
        <f>IF(A9="",0,IF(G8&lt;=0,0,ROUND(G8*('Equity &amp; Loan Setup'!B8/12),2)))</f>
        <v>298.32</v>
      </c>
      <c r="F9" s="32">
        <f>IF(A9="",0,F8+C9)</f>
        <v>2282.15</v>
      </c>
      <c r="G9" s="32">
        <f>IF(A9="",0,MAX(G8-D9,0))</f>
        <v>49218.88</v>
      </c>
      <c r="H9" s="32">
        <f>IF(A9="",0,H8+E9)</f>
        <v>1501.03</v>
      </c>
    </row>
    <row r="10" ht="26" customHeight="1" spans="1:8" x14ac:dyDescent="0.25">
      <c r="A10" s="33">
        <f>IF(G9&gt;0,6,"")</f>
        <v>6</v>
      </c>
      <c r="B10" s="34">
        <f>IF(A10="","",DATE(YEAR('Equity &amp; Loan Setup'!B10),MONTH('Equity &amp; Loan Setup'!B10)+5,DAY('Equity &amp; Loan Setup'!B10)))</f>
        <v>46174</v>
      </c>
      <c r="C10" s="35">
        <f>IF(A10="",0,IF(G9&lt;=0,0,MIN('Equity &amp; Loan Setup'!B20,G9*(1+'Equity &amp; Loan Setup'!B8/12))))</f>
        <v>456.43</v>
      </c>
      <c r="D10" s="35">
        <f>IF(A10="",0,IF(G9&lt;=0,0,MIN(C10-E10,G9)))</f>
        <v>159.07</v>
      </c>
      <c r="E10" s="35">
        <f>IF(A10="",0,IF(G9&lt;=0,0,ROUND(G9*('Equity &amp; Loan Setup'!B8/12),2)))</f>
        <v>297.36</v>
      </c>
      <c r="F10" s="35">
        <f>IF(A10="",0,F9+C10)</f>
        <v>2738.58</v>
      </c>
      <c r="G10" s="35">
        <f>IF(A10="",0,MAX(G9-D10,0))</f>
        <v>49059.81</v>
      </c>
      <c r="H10" s="35">
        <f>IF(A10="",0,H9+E10)</f>
        <v>1798.3899999999999</v>
      </c>
    </row>
    <row r="11" ht="26" customHeight="1" spans="1:8" x14ac:dyDescent="0.25">
      <c r="A11" s="30">
        <f>IF(G10&gt;0,7,"")</f>
        <v>7</v>
      </c>
      <c r="B11" s="31">
        <f>IF(A11="","",DATE(YEAR('Equity &amp; Loan Setup'!B10),MONTH('Equity &amp; Loan Setup'!B10)+6,DAY('Equity &amp; Loan Setup'!B10)))</f>
        <v>46204</v>
      </c>
      <c r="C11" s="32">
        <f>IF(A11="",0,IF(G10&lt;=0,0,MIN('Equity &amp; Loan Setup'!B20,G10*(1+'Equity &amp; Loan Setup'!B8/12))))</f>
        <v>456.43</v>
      </c>
      <c r="D11" s="32">
        <f>IF(A11="",0,IF(G10&lt;=0,0,MIN(C11-E11,G10)))</f>
        <v>160.03</v>
      </c>
      <c r="E11" s="32">
        <f>IF(A11="",0,IF(G10&lt;=0,0,ROUND(G10*('Equity &amp; Loan Setup'!B8/12),2)))</f>
        <v>296.4</v>
      </c>
      <c r="F11" s="32">
        <f>IF(A11="",0,F10+C11)</f>
        <v>3195.0099999999998</v>
      </c>
      <c r="G11" s="32">
        <f>IF(A11="",0,MAX(G10-D11,0))</f>
        <v>48899.78</v>
      </c>
      <c r="H11" s="32">
        <f>IF(A11="",0,H10+E11)</f>
        <v>2094.79</v>
      </c>
    </row>
    <row r="12" ht="26" customHeight="1" spans="1:8" x14ac:dyDescent="0.25">
      <c r="A12" s="33">
        <f>IF(G11&gt;0,8,"")</f>
        <v>8</v>
      </c>
      <c r="B12" s="34">
        <f>IF(A12="","",DATE(YEAR('Equity &amp; Loan Setup'!B10),MONTH('Equity &amp; Loan Setup'!B10)+7,DAY('Equity &amp; Loan Setup'!B10)))</f>
        <v>46235</v>
      </c>
      <c r="C12" s="35">
        <f>IF(A12="",0,IF(G11&lt;=0,0,MIN('Equity &amp; Loan Setup'!B20,G11*(1+'Equity &amp; Loan Setup'!B8/12))))</f>
        <v>456.43</v>
      </c>
      <c r="D12" s="35">
        <f>IF(A12="",0,IF(G11&lt;=0,0,MIN(C12-E12,G11)))</f>
        <v>160.99</v>
      </c>
      <c r="E12" s="35">
        <f>IF(A12="",0,IF(G11&lt;=0,0,ROUND(G11*('Equity &amp; Loan Setup'!B8/12),2)))</f>
        <v>295.44</v>
      </c>
      <c r="F12" s="35">
        <f>IF(A12="",0,F11+C12)</f>
        <v>3651.4399999999996</v>
      </c>
      <c r="G12" s="35">
        <f>IF(A12="",0,MAX(G11-D12,0))</f>
        <v>48738.79</v>
      </c>
      <c r="H12" s="35">
        <f>IF(A12="",0,H11+E12)</f>
        <v>2390.23</v>
      </c>
    </row>
    <row r="13" ht="26" customHeight="1" spans="1:8" x14ac:dyDescent="0.25">
      <c r="A13" s="30">
        <f>IF(G12&gt;0,9,"")</f>
        <v>9</v>
      </c>
      <c r="B13" s="31">
        <f>IF(A13="","",DATE(YEAR('Equity &amp; Loan Setup'!B10),MONTH('Equity &amp; Loan Setup'!B10)+8,DAY('Equity &amp; Loan Setup'!B10)))</f>
        <v>46266</v>
      </c>
      <c r="C13" s="32">
        <f>IF(A13="",0,IF(G12&lt;=0,0,MIN('Equity &amp; Loan Setup'!B20,G12*(1+'Equity &amp; Loan Setup'!B8/12))))</f>
        <v>456.43</v>
      </c>
      <c r="D13" s="32">
        <f>IF(A13="",0,IF(G12&lt;=0,0,MIN(C13-E13,G12)))</f>
        <v>161.97</v>
      </c>
      <c r="E13" s="32">
        <f>IF(A13="",0,IF(G12&lt;=0,0,ROUND(G12*('Equity &amp; Loan Setup'!B8/12),2)))</f>
        <v>294.46</v>
      </c>
      <c r="F13" s="32">
        <f>IF(A13="",0,F12+C13)</f>
        <v>4107.87</v>
      </c>
      <c r="G13" s="32">
        <f>IF(A13="",0,MAX(G12-D13,0))</f>
        <v>48576.82</v>
      </c>
      <c r="H13" s="32">
        <f>IF(A13="",0,H12+E13)</f>
        <v>2684.69</v>
      </c>
    </row>
    <row r="14" ht="26" customHeight="1" spans="1:8" x14ac:dyDescent="0.25">
      <c r="A14" s="33">
        <f>IF(G13&gt;0,10,"")</f>
        <v>10</v>
      </c>
      <c r="B14" s="34">
        <f>IF(A14="","",DATE(YEAR('Equity &amp; Loan Setup'!B10),MONTH('Equity &amp; Loan Setup'!B10)+9,DAY('Equity &amp; Loan Setup'!B10)))</f>
        <v>46296</v>
      </c>
      <c r="C14" s="35">
        <f>IF(A14="",0,IF(G13&lt;=0,0,MIN('Equity &amp; Loan Setup'!B20,G13*(1+'Equity &amp; Loan Setup'!B8/12))))</f>
        <v>456.43</v>
      </c>
      <c r="D14" s="35">
        <f>IF(A14="",0,IF(G13&lt;=0,0,MIN(C14-E14,G13)))</f>
        <v>162.95</v>
      </c>
      <c r="E14" s="35">
        <f>IF(A14="",0,IF(G13&lt;=0,0,ROUND(G13*('Equity &amp; Loan Setup'!B8/12),2)))</f>
        <v>293.48</v>
      </c>
      <c r="F14" s="35">
        <f>IF(A14="",0,F13+C14)</f>
        <v>4564.3</v>
      </c>
      <c r="G14" s="35">
        <f>IF(A14="",0,MAX(G13-D14,0))</f>
        <v>48413.87</v>
      </c>
      <c r="H14" s="35">
        <f>IF(A14="",0,H13+E14)</f>
        <v>2978.17</v>
      </c>
    </row>
    <row r="15" ht="26" customHeight="1" spans="1:8" x14ac:dyDescent="0.25">
      <c r="A15" s="30">
        <f>IF(G14&gt;0,11,"")</f>
        <v>11</v>
      </c>
      <c r="B15" s="31">
        <f>IF(A15="","",DATE(YEAR('Equity &amp; Loan Setup'!B10),MONTH('Equity &amp; Loan Setup'!B10)+10,DAY('Equity &amp; Loan Setup'!B10)))</f>
        <v>46327</v>
      </c>
      <c r="C15" s="32">
        <f>IF(A15="",0,IF(G14&lt;=0,0,MIN('Equity &amp; Loan Setup'!B20,G14*(1+'Equity &amp; Loan Setup'!B8/12))))</f>
        <v>456.43</v>
      </c>
      <c r="D15" s="32">
        <f>IF(A15="",0,IF(G14&lt;=0,0,MIN(C15-E15,G14)))</f>
        <v>163.93</v>
      </c>
      <c r="E15" s="32">
        <f>IF(A15="",0,IF(G14&lt;=0,0,ROUND(G14*('Equity &amp; Loan Setup'!B8/12),2)))</f>
        <v>292.5</v>
      </c>
      <c r="F15" s="32">
        <f>IF(A15="",0,F14+C15)</f>
        <v>5020.7300000000005</v>
      </c>
      <c r="G15" s="32">
        <f>IF(A15="",0,MAX(G14-D15,0))</f>
        <v>48249.94</v>
      </c>
      <c r="H15" s="32">
        <f>IF(A15="",0,H14+E15)</f>
        <v>3270.67</v>
      </c>
    </row>
    <row r="16" ht="26" customHeight="1" spans="1:8" x14ac:dyDescent="0.25">
      <c r="A16" s="33">
        <f>IF(G15&gt;0,12,"")</f>
        <v>12</v>
      </c>
      <c r="B16" s="34">
        <f>IF(A16="","",DATE(YEAR('Equity &amp; Loan Setup'!B10),MONTH('Equity &amp; Loan Setup'!B10)+11,DAY('Equity &amp; Loan Setup'!B10)))</f>
        <v>46357</v>
      </c>
      <c r="C16" s="35">
        <f>IF(A16="",0,IF(G15&lt;=0,0,MIN('Equity &amp; Loan Setup'!B20,G15*(1+'Equity &amp; Loan Setup'!B8/12))))</f>
        <v>456.43</v>
      </c>
      <c r="D16" s="35">
        <f>IF(A16="",0,IF(G15&lt;=0,0,MIN(C16-E16,G15)))</f>
        <v>164.92</v>
      </c>
      <c r="E16" s="35">
        <f>IF(A16="",0,IF(G15&lt;=0,0,ROUND(G15*('Equity &amp; Loan Setup'!B8/12),2)))</f>
        <v>291.51</v>
      </c>
      <c r="F16" s="35">
        <f>IF(A16="",0,F15+C16)</f>
        <v>5477.160000000001</v>
      </c>
      <c r="G16" s="35">
        <f>IF(A16="",0,MAX(G15-D16,0))</f>
        <v>48085.02</v>
      </c>
      <c r="H16" s="35">
        <f>IF(A16="",0,H15+E16)</f>
        <v>3562.1800000000003</v>
      </c>
    </row>
    <row r="17" ht="26" customHeight="1" spans="1:8" x14ac:dyDescent="0.25">
      <c r="A17" s="30">
        <f>IF(G16&gt;0,13,"")</f>
        <v>13</v>
      </c>
      <c r="B17" s="31">
        <f>IF(A17="","",DATE(YEAR('Equity &amp; Loan Setup'!B10),MONTH('Equity &amp; Loan Setup'!B10)+12,DAY('Equity &amp; Loan Setup'!B10)))</f>
        <v>46388</v>
      </c>
      <c r="C17" s="32">
        <f>IF(A17="",0,IF(G16&lt;=0,0,MIN('Equity &amp; Loan Setup'!B20,G16*(1+'Equity &amp; Loan Setup'!B8/12))))</f>
        <v>456.43</v>
      </c>
      <c r="D17" s="32">
        <f>IF(A17="",0,IF(G16&lt;=0,0,MIN(C17-E17,G16)))</f>
        <v>165.92</v>
      </c>
      <c r="E17" s="32">
        <f>IF(A17="",0,IF(G16&lt;=0,0,ROUND(G16*('Equity &amp; Loan Setup'!B8/12),2)))</f>
        <v>290.51</v>
      </c>
      <c r="F17" s="32">
        <f>IF(A17="",0,F16+C17)</f>
        <v>5933.590000000001</v>
      </c>
      <c r="G17" s="32">
        <f>IF(A17="",0,MAX(G16-D17,0))</f>
        <v>47919.1</v>
      </c>
      <c r="H17" s="32">
        <f>IF(A17="",0,H16+E17)</f>
        <v>3852.6900000000005</v>
      </c>
    </row>
    <row r="18" ht="26" customHeight="1" spans="1:8" x14ac:dyDescent="0.25">
      <c r="A18" s="33">
        <f>IF(G17&gt;0,14,"")</f>
        <v>14</v>
      </c>
      <c r="B18" s="34">
        <f>IF(A18="","",DATE(YEAR('Equity &amp; Loan Setup'!B10),MONTH('Equity &amp; Loan Setup'!B10)+13,DAY('Equity &amp; Loan Setup'!B10)))</f>
        <v>46419</v>
      </c>
      <c r="C18" s="35">
        <f>IF(A18="",0,IF(G17&lt;=0,0,MIN('Equity &amp; Loan Setup'!B20,G17*(1+'Equity &amp; Loan Setup'!B8/12))))</f>
        <v>456.43</v>
      </c>
      <c r="D18" s="35">
        <f>IF(A18="",0,IF(G17&lt;=0,0,MIN(C18-E18,G17)))</f>
        <v>166.92</v>
      </c>
      <c r="E18" s="35">
        <f>IF(A18="",0,IF(G17&lt;=0,0,ROUND(G17*('Equity &amp; Loan Setup'!B8/12),2)))</f>
        <v>289.51</v>
      </c>
      <c r="F18" s="35">
        <f>IF(A18="",0,F17+C18)</f>
        <v>6390.020000000001</v>
      </c>
      <c r="G18" s="35">
        <f>IF(A18="",0,MAX(G17-D18,0))</f>
        <v>47752.18</v>
      </c>
      <c r="H18" s="35">
        <f>IF(A18="",0,H17+E18)</f>
        <v>4142.200000000001</v>
      </c>
    </row>
    <row r="19" ht="26" customHeight="1" spans="1:8" x14ac:dyDescent="0.25">
      <c r="A19" s="30">
        <f>IF(G18&gt;0,15,"")</f>
        <v>15</v>
      </c>
      <c r="B19" s="31">
        <f>IF(A19="","",DATE(YEAR('Equity &amp; Loan Setup'!B10),MONTH('Equity &amp; Loan Setup'!B10)+14,DAY('Equity &amp; Loan Setup'!B10)))</f>
        <v>46447</v>
      </c>
      <c r="C19" s="32">
        <f>IF(A19="",0,IF(G18&lt;=0,0,MIN('Equity &amp; Loan Setup'!B20,G18*(1+'Equity &amp; Loan Setup'!B8/12))))</f>
        <v>456.43</v>
      </c>
      <c r="D19" s="32">
        <f>IF(A19="",0,IF(G18&lt;=0,0,MIN(C19-E19,G18)))</f>
        <v>167.93</v>
      </c>
      <c r="E19" s="32">
        <f>IF(A19="",0,IF(G18&lt;=0,0,ROUND(G18*('Equity &amp; Loan Setup'!B8/12),2)))</f>
        <v>288.5</v>
      </c>
      <c r="F19" s="32">
        <f>IF(A19="",0,F18+C19)</f>
        <v>6846.450000000002</v>
      </c>
      <c r="G19" s="32">
        <f>IF(A19="",0,MAX(G18-D19,0))</f>
        <v>47584.25</v>
      </c>
      <c r="H19" s="32">
        <f>IF(A19="",0,H18+E19)</f>
        <v>4430.700000000001</v>
      </c>
    </row>
    <row r="20" ht="26" customHeight="1" spans="1:8" x14ac:dyDescent="0.25">
      <c r="A20" s="33">
        <f>IF(G19&gt;0,16,"")</f>
        <v>16</v>
      </c>
      <c r="B20" s="34">
        <f>IF(A20="","",DATE(YEAR('Equity &amp; Loan Setup'!B10),MONTH('Equity &amp; Loan Setup'!B10)+15,DAY('Equity &amp; Loan Setup'!B10)))</f>
        <v>46478</v>
      </c>
      <c r="C20" s="35">
        <f>IF(A20="",0,IF(G19&lt;=0,0,MIN('Equity &amp; Loan Setup'!B20,G19*(1+'Equity &amp; Loan Setup'!B8/12))))</f>
        <v>456.43</v>
      </c>
      <c r="D20" s="35">
        <f>IF(A20="",0,IF(G19&lt;=0,0,MIN(C20-E20,G19)))</f>
        <v>168.94</v>
      </c>
      <c r="E20" s="35">
        <f>IF(A20="",0,IF(G19&lt;=0,0,ROUND(G19*('Equity &amp; Loan Setup'!B8/12),2)))</f>
        <v>287.49</v>
      </c>
      <c r="F20" s="35">
        <f>IF(A20="",0,F19+C20)</f>
        <v>7302.880000000002</v>
      </c>
      <c r="G20" s="35">
        <f>IF(A20="",0,MAX(G19-D20,0))</f>
        <v>47415.31</v>
      </c>
      <c r="H20" s="35">
        <f>IF(A20="",0,H19+E20)</f>
        <v>4718.1900000000005</v>
      </c>
    </row>
    <row r="21" ht="26" customHeight="1" spans="1:8" x14ac:dyDescent="0.25">
      <c r="A21" s="30">
        <f>IF(G20&gt;0,17,"")</f>
        <v>17</v>
      </c>
      <c r="B21" s="31">
        <f>IF(A21="","",DATE(YEAR('Equity &amp; Loan Setup'!B10),MONTH('Equity &amp; Loan Setup'!B10)+16,DAY('Equity &amp; Loan Setup'!B10)))</f>
        <v>46508</v>
      </c>
      <c r="C21" s="32">
        <f>IF(A21="",0,IF(G20&lt;=0,0,MIN('Equity &amp; Loan Setup'!B20,G20*(1+'Equity &amp; Loan Setup'!B8/12))))</f>
        <v>456.43</v>
      </c>
      <c r="D21" s="32">
        <f>IF(A21="",0,IF(G20&lt;=0,0,MIN(C21-E21,G20)))</f>
        <v>169.96</v>
      </c>
      <c r="E21" s="32">
        <f>IF(A21="",0,IF(G20&lt;=0,0,ROUND(G20*('Equity &amp; Loan Setup'!B8/12),2)))</f>
        <v>286.47</v>
      </c>
      <c r="F21" s="32">
        <f>IF(A21="",0,F20+C21)</f>
        <v>7759.310000000002</v>
      </c>
      <c r="G21" s="32">
        <f>IF(A21="",0,MAX(G20-D21,0))</f>
        <v>47245.35</v>
      </c>
      <c r="H21" s="32">
        <f>IF(A21="",0,H20+E21)</f>
        <v>5004.660000000001</v>
      </c>
    </row>
    <row r="22" ht="26" customHeight="1" spans="1:8" x14ac:dyDescent="0.25">
      <c r="A22" s="33">
        <f>IF(G21&gt;0,18,"")</f>
        <v>18</v>
      </c>
      <c r="B22" s="34">
        <f>IF(A22="","",DATE(YEAR('Equity &amp; Loan Setup'!B10),MONTH('Equity &amp; Loan Setup'!B10)+17,DAY('Equity &amp; Loan Setup'!B10)))</f>
        <v>46539</v>
      </c>
      <c r="C22" s="35">
        <f>IF(A22="",0,IF(G21&lt;=0,0,MIN('Equity &amp; Loan Setup'!B20,G21*(1+'Equity &amp; Loan Setup'!B8/12))))</f>
        <v>456.43</v>
      </c>
      <c r="D22" s="35">
        <f>IF(A22="",0,IF(G21&lt;=0,0,MIN(C22-E22,G21)))</f>
        <v>170.99</v>
      </c>
      <c r="E22" s="35">
        <f>IF(A22="",0,IF(G21&lt;=0,0,ROUND(G21*('Equity &amp; Loan Setup'!B8/12),2)))</f>
        <v>285.44</v>
      </c>
      <c r="F22" s="35">
        <f>IF(A22="",0,F21+C22)</f>
        <v>8215.740000000002</v>
      </c>
      <c r="G22" s="35">
        <f>IF(A22="",0,MAX(G21-D22,0))</f>
        <v>47074.36</v>
      </c>
      <c r="H22" s="35">
        <f>IF(A22="",0,H21+E22)</f>
        <v>5290.1</v>
      </c>
    </row>
    <row r="23" ht="26" customHeight="1" spans="1:8" x14ac:dyDescent="0.25">
      <c r="A23" s="30">
        <f>IF(G22&gt;0,19,"")</f>
        <v>19</v>
      </c>
      <c r="B23" s="31">
        <f>IF(A23="","",DATE(YEAR('Equity &amp; Loan Setup'!B10),MONTH('Equity &amp; Loan Setup'!B10)+18,DAY('Equity &amp; Loan Setup'!B10)))</f>
        <v>46569</v>
      </c>
      <c r="C23" s="32">
        <f>IF(A23="",0,IF(G22&lt;=0,0,MIN('Equity &amp; Loan Setup'!B20,G22*(1+'Equity &amp; Loan Setup'!B8/12))))</f>
        <v>456.43</v>
      </c>
      <c r="D23" s="32">
        <f>IF(A23="",0,IF(G22&lt;=0,0,MIN(C23-E23,G22)))</f>
        <v>172.02</v>
      </c>
      <c r="E23" s="32">
        <f>IF(A23="",0,IF(G22&lt;=0,0,ROUND(G22*('Equity &amp; Loan Setup'!B8/12),2)))</f>
        <v>284.41</v>
      </c>
      <c r="F23" s="32">
        <f>IF(A23="",0,F22+C23)</f>
        <v>8672.170000000002</v>
      </c>
      <c r="G23" s="32">
        <f>IF(A23="",0,MAX(G22-D23,0))</f>
        <v>46902.34</v>
      </c>
      <c r="H23" s="32">
        <f>IF(A23="",0,H22+E23)</f>
        <v>5574.51</v>
      </c>
    </row>
    <row r="24" ht="26" customHeight="1" spans="1:8" x14ac:dyDescent="0.25">
      <c r="A24" s="33">
        <f>IF(G23&gt;0,20,"")</f>
        <v>20</v>
      </c>
      <c r="B24" s="34">
        <f>IF(A24="","",DATE(YEAR('Equity &amp; Loan Setup'!B10),MONTH('Equity &amp; Loan Setup'!B10)+19,DAY('Equity &amp; Loan Setup'!B10)))</f>
        <v>46600</v>
      </c>
      <c r="C24" s="35">
        <f>IF(A24="",0,IF(G23&lt;=0,0,MIN('Equity &amp; Loan Setup'!B20,G23*(1+'Equity &amp; Loan Setup'!B8/12))))</f>
        <v>456.43</v>
      </c>
      <c r="D24" s="35">
        <f>IF(A24="",0,IF(G23&lt;=0,0,MIN(C24-E24,G23)))</f>
        <v>173.06</v>
      </c>
      <c r="E24" s="35">
        <f>IF(A24="",0,IF(G23&lt;=0,0,ROUND(G23*('Equity &amp; Loan Setup'!B8/12),2)))</f>
        <v>283.37</v>
      </c>
      <c r="F24" s="35">
        <f>IF(A24="",0,F23+C24)</f>
        <v>9128.600000000002</v>
      </c>
      <c r="G24" s="35">
        <f>IF(A24="",0,MAX(G23-D24,0))</f>
        <v>46729.28</v>
      </c>
      <c r="H24" s="35">
        <f>IF(A24="",0,H23+E24)</f>
        <v>5857.88</v>
      </c>
    </row>
    <row r="25" ht="26" customHeight="1" spans="1:8" x14ac:dyDescent="0.25">
      <c r="A25" s="30">
        <f>IF(G24&gt;0,21,"")</f>
        <v>21</v>
      </c>
      <c r="B25" s="31">
        <f>IF(A25="","",DATE(YEAR('Equity &amp; Loan Setup'!B10),MONTH('Equity &amp; Loan Setup'!B10)+20,DAY('Equity &amp; Loan Setup'!B10)))</f>
        <v>46631</v>
      </c>
      <c r="C25" s="32">
        <f>IF(A25="",0,IF(G24&lt;=0,0,MIN('Equity &amp; Loan Setup'!B20,G24*(1+'Equity &amp; Loan Setup'!B8/12))))</f>
        <v>456.43</v>
      </c>
      <c r="D25" s="32">
        <f>IF(A25="",0,IF(G24&lt;=0,0,MIN(C25-E25,G24)))</f>
        <v>174.11</v>
      </c>
      <c r="E25" s="32">
        <f>IF(A25="",0,IF(G24&lt;=0,0,ROUND(G24*('Equity &amp; Loan Setup'!B8/12),2)))</f>
        <v>282.32</v>
      </c>
      <c r="F25" s="32">
        <f>IF(A25="",0,F24+C25)</f>
        <v>9585.030000000002</v>
      </c>
      <c r="G25" s="32">
        <f>IF(A25="",0,MAX(G24-D25,0))</f>
        <v>46555.17</v>
      </c>
      <c r="H25" s="32">
        <f>IF(A25="",0,H24+E25)</f>
        <v>6140.2</v>
      </c>
    </row>
    <row r="26" ht="26" customHeight="1" spans="1:8" x14ac:dyDescent="0.25">
      <c r="A26" s="33">
        <f>IF(G25&gt;0,22,"")</f>
        <v>22</v>
      </c>
      <c r="B26" s="34">
        <f>IF(A26="","",DATE(YEAR('Equity &amp; Loan Setup'!B10),MONTH('Equity &amp; Loan Setup'!B10)+21,DAY('Equity &amp; Loan Setup'!B10)))</f>
        <v>46661</v>
      </c>
      <c r="C26" s="35">
        <f>IF(A26="",0,IF(G25&lt;=0,0,MIN('Equity &amp; Loan Setup'!B20,G25*(1+'Equity &amp; Loan Setup'!B8/12))))</f>
        <v>456.43</v>
      </c>
      <c r="D26" s="35">
        <f>IF(A26="",0,IF(G25&lt;=0,0,MIN(C26-E26,G25)))</f>
        <v>175.16</v>
      </c>
      <c r="E26" s="35">
        <f>IF(A26="",0,IF(G25&lt;=0,0,ROUND(G25*('Equity &amp; Loan Setup'!B8/12),2)))</f>
        <v>281.27</v>
      </c>
      <c r="F26" s="35">
        <f>IF(A26="",0,F25+C26)</f>
        <v>10041.460000000003</v>
      </c>
      <c r="G26" s="35">
        <f>IF(A26="",0,MAX(G25-D26,0))</f>
        <v>46380.01</v>
      </c>
      <c r="H26" s="35">
        <f>IF(A26="",0,H25+E26)</f>
        <v>6421.469999999999</v>
      </c>
    </row>
    <row r="27" ht="26" customHeight="1" spans="1:8" x14ac:dyDescent="0.25">
      <c r="A27" s="30">
        <f>IF(G26&gt;0,23,"")</f>
        <v>23</v>
      </c>
      <c r="B27" s="31">
        <f>IF(A27="","",DATE(YEAR('Equity &amp; Loan Setup'!B10),MONTH('Equity &amp; Loan Setup'!B10)+22,DAY('Equity &amp; Loan Setup'!B10)))</f>
        <v>46692</v>
      </c>
      <c r="C27" s="32">
        <f>IF(A27="",0,IF(G26&lt;=0,0,MIN('Equity &amp; Loan Setup'!B20,G26*(1+'Equity &amp; Loan Setup'!B8/12))))</f>
        <v>456.43</v>
      </c>
      <c r="D27" s="32">
        <f>IF(A27="",0,IF(G26&lt;=0,0,MIN(C27-E27,G26)))</f>
        <v>176.22</v>
      </c>
      <c r="E27" s="32">
        <f>IF(A27="",0,IF(G26&lt;=0,0,ROUND(G26*('Equity &amp; Loan Setup'!B8/12),2)))</f>
        <v>280.21</v>
      </c>
      <c r="F27" s="32">
        <f>IF(A27="",0,F26+C27)</f>
        <v>10497.890000000003</v>
      </c>
      <c r="G27" s="32">
        <f>IF(A27="",0,MAX(G26-D27,0))</f>
        <v>46203.79</v>
      </c>
      <c r="H27" s="32">
        <f>IF(A27="",0,H26+E27)</f>
        <v>6701.679999999999</v>
      </c>
    </row>
    <row r="28" ht="26" customHeight="1" spans="1:8" x14ac:dyDescent="0.25">
      <c r="A28" s="33">
        <f>IF(G27&gt;0,24,"")</f>
        <v>24</v>
      </c>
      <c r="B28" s="34">
        <f>IF(A28="","",DATE(YEAR('Equity &amp; Loan Setup'!B10),MONTH('Equity &amp; Loan Setup'!B10)+23,DAY('Equity &amp; Loan Setup'!B10)))</f>
        <v>46722</v>
      </c>
      <c r="C28" s="35">
        <f>IF(A28="",0,IF(G27&lt;=0,0,MIN('Equity &amp; Loan Setup'!B20,G27*(1+'Equity &amp; Loan Setup'!B8/12))))</f>
        <v>456.43</v>
      </c>
      <c r="D28" s="35">
        <f>IF(A28="",0,IF(G27&lt;=0,0,MIN(C28-E28,G27)))</f>
        <v>177.28</v>
      </c>
      <c r="E28" s="35">
        <f>IF(A28="",0,IF(G27&lt;=0,0,ROUND(G27*('Equity &amp; Loan Setup'!B8/12),2)))</f>
        <v>279.15</v>
      </c>
      <c r="F28" s="35">
        <f>IF(A28="",0,F27+C28)</f>
        <v>10954.320000000003</v>
      </c>
      <c r="G28" s="35">
        <f>IF(A28="",0,MAX(G27-D28,0))</f>
        <v>46026.51</v>
      </c>
      <c r="H28" s="35">
        <f>IF(A28="",0,H27+E28)</f>
        <v>6980.829999999999</v>
      </c>
    </row>
    <row r="29" ht="26" customHeight="1" spans="1:8" x14ac:dyDescent="0.25">
      <c r="A29" s="30">
        <f>IF(G28&gt;0,25,"")</f>
        <v>25</v>
      </c>
      <c r="B29" s="31">
        <f>IF(A29="","",DATE(YEAR('Equity &amp; Loan Setup'!B10),MONTH('Equity &amp; Loan Setup'!B10)+24,DAY('Equity &amp; Loan Setup'!B10)))</f>
        <v>46753</v>
      </c>
      <c r="C29" s="32">
        <f>IF(A29="",0,IF(G28&lt;=0,0,MIN('Equity &amp; Loan Setup'!B20,G28*(1+'Equity &amp; Loan Setup'!B8/12))))</f>
        <v>456.43</v>
      </c>
      <c r="D29" s="32">
        <f>IF(A29="",0,IF(G28&lt;=0,0,MIN(C29-E29,G28)))</f>
        <v>178.35</v>
      </c>
      <c r="E29" s="32">
        <f>IF(A29="",0,IF(G28&lt;=0,0,ROUND(G28*('Equity &amp; Loan Setup'!B8/12),2)))</f>
        <v>278.08</v>
      </c>
      <c r="F29" s="32">
        <f>IF(A29="",0,F28+C29)</f>
        <v>11410.750000000004</v>
      </c>
      <c r="G29" s="32">
        <f>IF(A29="",0,MAX(G28-D29,0))</f>
        <v>45848.16</v>
      </c>
      <c r="H29" s="32">
        <f>IF(A29="",0,H28+E29)</f>
        <v>7258.909999999999</v>
      </c>
    </row>
    <row r="30" ht="26" customHeight="1" spans="1:8" x14ac:dyDescent="0.25">
      <c r="A30" s="33">
        <f>IF(G29&gt;0,26,"")</f>
        <v>26</v>
      </c>
      <c r="B30" s="34">
        <f>IF(A30="","",DATE(YEAR('Equity &amp; Loan Setup'!B10),MONTH('Equity &amp; Loan Setup'!B10)+25,DAY('Equity &amp; Loan Setup'!B10)))</f>
        <v>46784</v>
      </c>
      <c r="C30" s="35">
        <f>IF(A30="",0,IF(G29&lt;=0,0,MIN('Equity &amp; Loan Setup'!B20,G29*(1+'Equity &amp; Loan Setup'!B8/12))))</f>
        <v>456.43</v>
      </c>
      <c r="D30" s="35">
        <f>IF(A30="",0,IF(G29&lt;=0,0,MIN(C30-E30,G29)))</f>
        <v>179.43</v>
      </c>
      <c r="E30" s="35">
        <f>IF(A30="",0,IF(G29&lt;=0,0,ROUND(G29*('Equity &amp; Loan Setup'!B8/12),2)))</f>
        <v>277</v>
      </c>
      <c r="F30" s="35">
        <f>IF(A30="",0,F29+C30)</f>
        <v>11867.180000000004</v>
      </c>
      <c r="G30" s="35">
        <f>IF(A30="",0,MAX(G29-D30,0))</f>
        <v>45668.73</v>
      </c>
      <c r="H30" s="35">
        <f>IF(A30="",0,H29+E30)</f>
        <v>7535.909999999999</v>
      </c>
    </row>
    <row r="31" ht="26" customHeight="1" spans="1:8" x14ac:dyDescent="0.25">
      <c r="A31" s="30">
        <f>IF(G30&gt;0,27,"")</f>
        <v>27</v>
      </c>
      <c r="B31" s="31">
        <f>IF(A31="","",DATE(YEAR('Equity &amp; Loan Setup'!B10),MONTH('Equity &amp; Loan Setup'!B10)+26,DAY('Equity &amp; Loan Setup'!B10)))</f>
        <v>46813</v>
      </c>
      <c r="C31" s="32">
        <f>IF(A31="",0,IF(G30&lt;=0,0,MIN('Equity &amp; Loan Setup'!B20,G30*(1+'Equity &amp; Loan Setup'!B8/12))))</f>
        <v>456.43</v>
      </c>
      <c r="D31" s="32">
        <f>IF(A31="",0,IF(G30&lt;=0,0,MIN(C31-E31,G30)))</f>
        <v>180.51</v>
      </c>
      <c r="E31" s="32">
        <f>IF(A31="",0,IF(G30&lt;=0,0,ROUND(G30*('Equity &amp; Loan Setup'!B8/12),2)))</f>
        <v>275.92</v>
      </c>
      <c r="F31" s="32">
        <f>IF(A31="",0,F30+C31)</f>
        <v>12323.610000000004</v>
      </c>
      <c r="G31" s="32">
        <f>IF(A31="",0,MAX(G30-D31,0))</f>
        <v>45488.22</v>
      </c>
      <c r="H31" s="32">
        <f>IF(A31="",0,H30+E31)</f>
        <v>7811.829999999999</v>
      </c>
    </row>
    <row r="32" ht="26" customHeight="1" spans="1:8" x14ac:dyDescent="0.25">
      <c r="A32" s="33">
        <f>IF(G31&gt;0,28,"")</f>
        <v>28</v>
      </c>
      <c r="B32" s="34">
        <f>IF(A32="","",DATE(YEAR('Equity &amp; Loan Setup'!B10),MONTH('Equity &amp; Loan Setup'!B10)+27,DAY('Equity &amp; Loan Setup'!B10)))</f>
        <v>46844</v>
      </c>
      <c r="C32" s="35">
        <f>IF(A32="",0,IF(G31&lt;=0,0,MIN('Equity &amp; Loan Setup'!B20,G31*(1+'Equity &amp; Loan Setup'!B8/12))))</f>
        <v>456.43</v>
      </c>
      <c r="D32" s="35">
        <f>IF(A32="",0,IF(G31&lt;=0,0,MIN(C32-E32,G31)))</f>
        <v>181.61</v>
      </c>
      <c r="E32" s="35">
        <f>IF(A32="",0,IF(G31&lt;=0,0,ROUND(G31*('Equity &amp; Loan Setup'!B8/12),2)))</f>
        <v>274.82</v>
      </c>
      <c r="F32" s="35">
        <f>IF(A32="",0,F31+C32)</f>
        <v>12780.040000000005</v>
      </c>
      <c r="G32" s="35">
        <f>IF(A32="",0,MAX(G31-D32,0))</f>
        <v>45306.61</v>
      </c>
      <c r="H32" s="35">
        <f>IF(A32="",0,H31+E32)</f>
        <v>8086.649999999999</v>
      </c>
    </row>
    <row r="33" ht="26" customHeight="1" spans="1:8" x14ac:dyDescent="0.25">
      <c r="A33" s="30">
        <f>IF(G32&gt;0,29,"")</f>
        <v>29</v>
      </c>
      <c r="B33" s="31">
        <f>IF(A33="","",DATE(YEAR('Equity &amp; Loan Setup'!B10),MONTH('Equity &amp; Loan Setup'!B10)+28,DAY('Equity &amp; Loan Setup'!B10)))</f>
        <v>46874</v>
      </c>
      <c r="C33" s="32">
        <f>IF(A33="",0,IF(G32&lt;=0,0,MIN('Equity &amp; Loan Setup'!B20,G32*(1+'Equity &amp; Loan Setup'!B8/12))))</f>
        <v>456.43</v>
      </c>
      <c r="D33" s="32">
        <f>IF(A33="",0,IF(G32&lt;=0,0,MIN(C33-E33,G32)))</f>
        <v>182.7</v>
      </c>
      <c r="E33" s="32">
        <f>IF(A33="",0,IF(G32&lt;=0,0,ROUND(G32*('Equity &amp; Loan Setup'!B8/12),2)))</f>
        <v>273.73</v>
      </c>
      <c r="F33" s="32">
        <f>IF(A33="",0,F32+C33)</f>
        <v>13236.470000000005</v>
      </c>
      <c r="G33" s="32">
        <f>IF(A33="",0,MAX(G32-D33,0))</f>
        <v>45123.91</v>
      </c>
      <c r="H33" s="32">
        <f>IF(A33="",0,H32+E33)</f>
        <v>8360.38</v>
      </c>
    </row>
    <row r="34" ht="26" customHeight="1" spans="1:8" x14ac:dyDescent="0.25">
      <c r="A34" s="33">
        <f>IF(G33&gt;0,30,"")</f>
        <v>30</v>
      </c>
      <c r="B34" s="34">
        <f>IF(A34="","",DATE(YEAR('Equity &amp; Loan Setup'!B10),MONTH('Equity &amp; Loan Setup'!B10)+29,DAY('Equity &amp; Loan Setup'!B10)))</f>
        <v>46905</v>
      </c>
      <c r="C34" s="35">
        <f>IF(A34="",0,IF(G33&lt;=0,0,MIN('Equity &amp; Loan Setup'!B20,G33*(1+'Equity &amp; Loan Setup'!B8/12))))</f>
        <v>456.43</v>
      </c>
      <c r="D34" s="35">
        <f>IF(A34="",0,IF(G33&lt;=0,0,MIN(C34-E34,G33)))</f>
        <v>183.81</v>
      </c>
      <c r="E34" s="35">
        <f>IF(A34="",0,IF(G33&lt;=0,0,ROUND(G33*('Equity &amp; Loan Setup'!B8/12),2)))</f>
        <v>272.62</v>
      </c>
      <c r="F34" s="35">
        <f>IF(A34="",0,F33+C34)</f>
        <v>13692.900000000005</v>
      </c>
      <c r="G34" s="35">
        <f>IF(A34="",0,MAX(G33-D34,0))</f>
        <v>44940.1</v>
      </c>
      <c r="H34" s="35">
        <f>IF(A34="",0,H33+E34)</f>
        <v>8633</v>
      </c>
    </row>
    <row r="35" ht="26" customHeight="1" spans="1:8" x14ac:dyDescent="0.25">
      <c r="A35" s="30">
        <f>IF(G34&gt;0,31,"")</f>
        <v>31</v>
      </c>
      <c r="B35" s="31">
        <f>IF(A35="","",DATE(YEAR('Equity &amp; Loan Setup'!B10),MONTH('Equity &amp; Loan Setup'!B10)+30,DAY('Equity &amp; Loan Setup'!B10)))</f>
        <v>46935</v>
      </c>
      <c r="C35" s="32">
        <f>IF(A35="",0,IF(G34&lt;=0,0,MIN('Equity &amp; Loan Setup'!B20,G34*(1+'Equity &amp; Loan Setup'!B8/12))))</f>
        <v>456.43</v>
      </c>
      <c r="D35" s="32">
        <f>IF(A35="",0,IF(G34&lt;=0,0,MIN(C35-E35,G34)))</f>
        <v>184.92</v>
      </c>
      <c r="E35" s="32">
        <f>IF(A35="",0,IF(G34&lt;=0,0,ROUND(G34*('Equity &amp; Loan Setup'!B8/12),2)))</f>
        <v>271.51</v>
      </c>
      <c r="F35" s="32">
        <f>IF(A35="",0,F34+C35)</f>
        <v>14149.330000000005</v>
      </c>
      <c r="G35" s="32">
        <f>IF(A35="",0,MAX(G34-D35,0))</f>
        <v>44755.18</v>
      </c>
      <c r="H35" s="32">
        <f>IF(A35="",0,H34+E35)</f>
        <v>8904.51</v>
      </c>
    </row>
    <row r="36" ht="26" customHeight="1" spans="1:8" x14ac:dyDescent="0.25">
      <c r="A36" s="33">
        <f>IF(G35&gt;0,32,"")</f>
        <v>32</v>
      </c>
      <c r="B36" s="34">
        <f>IF(A36="","",DATE(YEAR('Equity &amp; Loan Setup'!B10),MONTH('Equity &amp; Loan Setup'!B10)+31,DAY('Equity &amp; Loan Setup'!B10)))</f>
        <v>46966</v>
      </c>
      <c r="C36" s="35">
        <f>IF(A36="",0,IF(G35&lt;=0,0,MIN('Equity &amp; Loan Setup'!B20,G35*(1+'Equity &amp; Loan Setup'!B8/12))))</f>
        <v>456.43</v>
      </c>
      <c r="D36" s="35">
        <f>IF(A36="",0,IF(G35&lt;=0,0,MIN(C36-E36,G35)))</f>
        <v>186.03</v>
      </c>
      <c r="E36" s="35">
        <f>IF(A36="",0,IF(G35&lt;=0,0,ROUND(G35*('Equity &amp; Loan Setup'!B8/12),2)))</f>
        <v>270.4</v>
      </c>
      <c r="F36" s="35">
        <f>IF(A36="",0,F35+C36)</f>
        <v>14605.760000000006</v>
      </c>
      <c r="G36" s="35">
        <f>IF(A36="",0,MAX(G35-D36,0))</f>
        <v>44569.15</v>
      </c>
      <c r="H36" s="35">
        <f>IF(A36="",0,H35+E36)</f>
        <v>9174.91</v>
      </c>
    </row>
    <row r="37" ht="26" customHeight="1" spans="1:8" x14ac:dyDescent="0.25">
      <c r="A37" s="30">
        <f>IF(G36&gt;0,33,"")</f>
        <v>33</v>
      </c>
      <c r="B37" s="31">
        <f>IF(A37="","",DATE(YEAR('Equity &amp; Loan Setup'!B10),MONTH('Equity &amp; Loan Setup'!B10)+32,DAY('Equity &amp; Loan Setup'!B10)))</f>
        <v>46997</v>
      </c>
      <c r="C37" s="32">
        <f>IF(A37="",0,IF(G36&lt;=0,0,MIN('Equity &amp; Loan Setup'!B20,G36*(1+'Equity &amp; Loan Setup'!B8/12))))</f>
        <v>456.43</v>
      </c>
      <c r="D37" s="32">
        <f>IF(A37="",0,IF(G36&lt;=0,0,MIN(C37-E37,G36)))</f>
        <v>187.16</v>
      </c>
      <c r="E37" s="32">
        <f>IF(A37="",0,IF(G36&lt;=0,0,ROUND(G36*('Equity &amp; Loan Setup'!B8/12),2)))</f>
        <v>269.27</v>
      </c>
      <c r="F37" s="32">
        <f>IF(A37="",0,F36+C37)</f>
        <v>15062.190000000006</v>
      </c>
      <c r="G37" s="32">
        <f>IF(A37="",0,MAX(G36-D37,0))</f>
        <v>44381.99</v>
      </c>
      <c r="H37" s="32">
        <f>IF(A37="",0,H36+E37)</f>
        <v>9444.18</v>
      </c>
    </row>
    <row r="38" ht="26" customHeight="1" spans="1:8" x14ac:dyDescent="0.25">
      <c r="A38" s="33">
        <f>IF(G37&gt;0,34,"")</f>
        <v>34</v>
      </c>
      <c r="B38" s="34">
        <f>IF(A38="","",DATE(YEAR('Equity &amp; Loan Setup'!B10),MONTH('Equity &amp; Loan Setup'!B10)+33,DAY('Equity &amp; Loan Setup'!B10)))</f>
        <v>47027</v>
      </c>
      <c r="C38" s="35">
        <f>IF(A38="",0,IF(G37&lt;=0,0,MIN('Equity &amp; Loan Setup'!B20,G37*(1+'Equity &amp; Loan Setup'!B8/12))))</f>
        <v>456.43</v>
      </c>
      <c r="D38" s="35">
        <f>IF(A38="",0,IF(G37&lt;=0,0,MIN(C38-E38,G37)))</f>
        <v>188.29</v>
      </c>
      <c r="E38" s="35">
        <f>IF(A38="",0,IF(G37&lt;=0,0,ROUND(G37*('Equity &amp; Loan Setup'!B8/12),2)))</f>
        <v>268.14</v>
      </c>
      <c r="F38" s="35">
        <f>IF(A38="",0,F37+C38)</f>
        <v>15518.620000000006</v>
      </c>
      <c r="G38" s="35">
        <f>IF(A38="",0,MAX(G37-D38,0))</f>
        <v>44193.7</v>
      </c>
      <c r="H38" s="35">
        <f>IF(A38="",0,H37+E38)</f>
        <v>9712.32</v>
      </c>
    </row>
    <row r="39" ht="26" customHeight="1" spans="1:8" x14ac:dyDescent="0.25">
      <c r="A39" s="30">
        <f>IF(G38&gt;0,35,"")</f>
        <v>35</v>
      </c>
      <c r="B39" s="31">
        <f>IF(A39="","",DATE(YEAR('Equity &amp; Loan Setup'!B10),MONTH('Equity &amp; Loan Setup'!B10)+34,DAY('Equity &amp; Loan Setup'!B10)))</f>
        <v>47058</v>
      </c>
      <c r="C39" s="32">
        <f>IF(A39="",0,IF(G38&lt;=0,0,MIN('Equity &amp; Loan Setup'!B20,G38*(1+'Equity &amp; Loan Setup'!B8/12))))</f>
        <v>456.43</v>
      </c>
      <c r="D39" s="32">
        <f>IF(A39="",0,IF(G38&lt;=0,0,MIN(C39-E39,G38)))</f>
        <v>189.43</v>
      </c>
      <c r="E39" s="32">
        <f>IF(A39="",0,IF(G38&lt;=0,0,ROUND(G38*('Equity &amp; Loan Setup'!B8/12),2)))</f>
        <v>267</v>
      </c>
      <c r="F39" s="32">
        <f>IF(A39="",0,F38+C39)</f>
        <v>15975.050000000007</v>
      </c>
      <c r="G39" s="32">
        <f>IF(A39="",0,MAX(G38-D39,0))</f>
        <v>44004.27</v>
      </c>
      <c r="H39" s="32">
        <f>IF(A39="",0,H38+E39)</f>
        <v>9979.32</v>
      </c>
    </row>
    <row r="40" ht="26" customHeight="1" spans="1:8" x14ac:dyDescent="0.25">
      <c r="A40" s="33">
        <f>IF(G39&gt;0,36,"")</f>
        <v>36</v>
      </c>
      <c r="B40" s="34">
        <f>IF(A40="","",DATE(YEAR('Equity &amp; Loan Setup'!B10),MONTH('Equity &amp; Loan Setup'!B10)+35,DAY('Equity &amp; Loan Setup'!B10)))</f>
        <v>47088</v>
      </c>
      <c r="C40" s="35">
        <f>IF(A40="",0,IF(G39&lt;=0,0,MIN('Equity &amp; Loan Setup'!B20,G39*(1+'Equity &amp; Loan Setup'!B8/12))))</f>
        <v>456.43</v>
      </c>
      <c r="D40" s="35">
        <f>IF(A40="",0,IF(G39&lt;=0,0,MIN(C40-E40,G39)))</f>
        <v>190.57</v>
      </c>
      <c r="E40" s="35">
        <f>IF(A40="",0,IF(G39&lt;=0,0,ROUND(G39*('Equity &amp; Loan Setup'!B8/12),2)))</f>
        <v>265.86</v>
      </c>
      <c r="F40" s="35">
        <f>IF(A40="",0,F39+C40)</f>
        <v>16431.480000000007</v>
      </c>
      <c r="G40" s="35">
        <f>IF(A40="",0,MAX(G39-D40,0))</f>
        <v>43813.7</v>
      </c>
      <c r="H40" s="35">
        <f>IF(A40="",0,H39+E40)</f>
        <v>10245.18</v>
      </c>
    </row>
    <row r="41" ht="26" customHeight="1" spans="1:8" x14ac:dyDescent="0.25">
      <c r="A41" s="30">
        <f>IF(G40&gt;0,37,"")</f>
        <v>37</v>
      </c>
      <c r="B41" s="31">
        <f>IF(A41="","",DATE(YEAR('Equity &amp; Loan Setup'!B10),MONTH('Equity &amp; Loan Setup'!B10)+36,DAY('Equity &amp; Loan Setup'!B10)))</f>
        <v>47119</v>
      </c>
      <c r="C41" s="32">
        <f>IF(A41="",0,IF(G40&lt;=0,0,MIN('Equity &amp; Loan Setup'!B20,G40*(1+'Equity &amp; Loan Setup'!B8/12))))</f>
        <v>456.43</v>
      </c>
      <c r="D41" s="32">
        <f>IF(A41="",0,IF(G40&lt;=0,0,MIN(C41-E41,G40)))</f>
        <v>191.72</v>
      </c>
      <c r="E41" s="32">
        <f>IF(A41="",0,IF(G40&lt;=0,0,ROUND(G40*('Equity &amp; Loan Setup'!B8/12),2)))</f>
        <v>264.71</v>
      </c>
      <c r="F41" s="32">
        <f>IF(A41="",0,F40+C41)</f>
        <v>16887.910000000007</v>
      </c>
      <c r="G41" s="32">
        <f>IF(A41="",0,MAX(G40-D41,0))</f>
        <v>43621.98</v>
      </c>
      <c r="H41" s="32">
        <f>IF(A41="",0,H40+E41)</f>
        <v>10509.89</v>
      </c>
    </row>
    <row r="42" ht="26" customHeight="1" spans="1:8" x14ac:dyDescent="0.25">
      <c r="A42" s="33">
        <f>IF(G41&gt;0,38,"")</f>
        <v>38</v>
      </c>
      <c r="B42" s="34">
        <f>IF(A42="","",DATE(YEAR('Equity &amp; Loan Setup'!B10),MONTH('Equity &amp; Loan Setup'!B10)+37,DAY('Equity &amp; Loan Setup'!B10)))</f>
        <v>47150</v>
      </c>
      <c r="C42" s="35">
        <f>IF(A42="",0,IF(G41&lt;=0,0,MIN('Equity &amp; Loan Setup'!B20,G41*(1+'Equity &amp; Loan Setup'!B8/12))))</f>
        <v>456.43</v>
      </c>
      <c r="D42" s="35">
        <f>IF(A42="",0,IF(G41&lt;=0,0,MIN(C42-E42,G41)))</f>
        <v>192.88</v>
      </c>
      <c r="E42" s="35">
        <f>IF(A42="",0,IF(G41&lt;=0,0,ROUND(G41*('Equity &amp; Loan Setup'!B8/12),2)))</f>
        <v>263.55</v>
      </c>
      <c r="F42" s="35">
        <f>IF(A42="",0,F41+C42)</f>
        <v>17344.340000000007</v>
      </c>
      <c r="G42" s="35">
        <f>IF(A42="",0,MAX(G41-D42,0))</f>
        <v>43429.1</v>
      </c>
      <c r="H42" s="35">
        <f>IF(A42="",0,H41+E42)</f>
        <v>10773.439999999999</v>
      </c>
    </row>
    <row r="43" ht="26" customHeight="1" spans="1:8" x14ac:dyDescent="0.25">
      <c r="A43" s="30">
        <f>IF(G42&gt;0,39,"")</f>
        <v>39</v>
      </c>
      <c r="B43" s="31">
        <f>IF(A43="","",DATE(YEAR('Equity &amp; Loan Setup'!B10),MONTH('Equity &amp; Loan Setup'!B10)+38,DAY('Equity &amp; Loan Setup'!B10)))</f>
        <v>47178</v>
      </c>
      <c r="C43" s="32">
        <f>IF(A43="",0,IF(G42&lt;=0,0,MIN('Equity &amp; Loan Setup'!B20,G42*(1+'Equity &amp; Loan Setup'!B8/12))))</f>
        <v>456.43</v>
      </c>
      <c r="D43" s="32">
        <f>IF(A43="",0,IF(G42&lt;=0,0,MIN(C43-E43,G42)))</f>
        <v>194.05</v>
      </c>
      <c r="E43" s="32">
        <f>IF(A43="",0,IF(G42&lt;=0,0,ROUND(G42*('Equity &amp; Loan Setup'!B8/12),2)))</f>
        <v>262.38</v>
      </c>
      <c r="F43" s="32">
        <f>IF(A43="",0,F42+C43)</f>
        <v>17800.770000000008</v>
      </c>
      <c r="G43" s="32">
        <f>IF(A43="",0,MAX(G42-D43,0))</f>
        <v>43235.05</v>
      </c>
      <c r="H43" s="32">
        <f>IF(A43="",0,H42+E43)</f>
        <v>11035.819999999998</v>
      </c>
    </row>
    <row r="44" ht="26" customHeight="1" spans="1:8" x14ac:dyDescent="0.25">
      <c r="A44" s="33">
        <f>IF(G43&gt;0,40,"")</f>
        <v>40</v>
      </c>
      <c r="B44" s="34">
        <f>IF(A44="","",DATE(YEAR('Equity &amp; Loan Setup'!B10),MONTH('Equity &amp; Loan Setup'!B10)+39,DAY('Equity &amp; Loan Setup'!B10)))</f>
        <v>47209</v>
      </c>
      <c r="C44" s="35">
        <f>IF(A44="",0,IF(G43&lt;=0,0,MIN('Equity &amp; Loan Setup'!B20,G43*(1+'Equity &amp; Loan Setup'!B8/12))))</f>
        <v>456.43</v>
      </c>
      <c r="D44" s="35">
        <f>IF(A44="",0,IF(G43&lt;=0,0,MIN(C44-E44,G43)))</f>
        <v>195.22</v>
      </c>
      <c r="E44" s="35">
        <f>IF(A44="",0,IF(G43&lt;=0,0,ROUND(G43*('Equity &amp; Loan Setup'!B8/12),2)))</f>
        <v>261.21</v>
      </c>
      <c r="F44" s="35">
        <f>IF(A44="",0,F43+C44)</f>
        <v>18257.200000000008</v>
      </c>
      <c r="G44" s="35">
        <f>IF(A44="",0,MAX(G43-D44,0))</f>
        <v>43039.83</v>
      </c>
      <c r="H44" s="35">
        <f>IF(A44="",0,H43+E44)</f>
        <v>11297.029999999997</v>
      </c>
    </row>
    <row r="45" ht="26" customHeight="1" spans="1:8" x14ac:dyDescent="0.25">
      <c r="A45" s="30">
        <f>IF(G44&gt;0,41,"")</f>
        <v>41</v>
      </c>
      <c r="B45" s="31">
        <f>IF(A45="","",DATE(YEAR('Equity &amp; Loan Setup'!B10),MONTH('Equity &amp; Loan Setup'!B10)+40,DAY('Equity &amp; Loan Setup'!B10)))</f>
        <v>47239</v>
      </c>
      <c r="C45" s="32">
        <f>IF(A45="",0,IF(G44&lt;=0,0,MIN('Equity &amp; Loan Setup'!B20,G44*(1+'Equity &amp; Loan Setup'!B8/12))))</f>
        <v>456.43</v>
      </c>
      <c r="D45" s="32">
        <f>IF(A45="",0,IF(G44&lt;=0,0,MIN(C45-E45,G44)))</f>
        <v>196.4</v>
      </c>
      <c r="E45" s="32">
        <f>IF(A45="",0,IF(G44&lt;=0,0,ROUND(G44*('Equity &amp; Loan Setup'!B8/12),2)))</f>
        <v>260.03</v>
      </c>
      <c r="F45" s="32">
        <f>IF(A45="",0,F44+C45)</f>
        <v>18713.63000000001</v>
      </c>
      <c r="G45" s="32">
        <f>IF(A45="",0,MAX(G44-D45,0))</f>
        <v>42843.43</v>
      </c>
      <c r="H45" s="32">
        <f>IF(A45="",0,H44+E45)</f>
        <v>11557.059999999998</v>
      </c>
    </row>
    <row r="46" ht="26" customHeight="1" spans="1:8" x14ac:dyDescent="0.25">
      <c r="A46" s="33">
        <f>IF(G45&gt;0,42,"")</f>
        <v>42</v>
      </c>
      <c r="B46" s="34">
        <f>IF(A46="","",DATE(YEAR('Equity &amp; Loan Setup'!B10),MONTH('Equity &amp; Loan Setup'!B10)+41,DAY('Equity &amp; Loan Setup'!B10)))</f>
        <v>47270</v>
      </c>
      <c r="C46" s="35">
        <f>IF(A46="",0,IF(G45&lt;=0,0,MIN('Equity &amp; Loan Setup'!B20,G45*(1+'Equity &amp; Loan Setup'!B8/12))))</f>
        <v>456.43</v>
      </c>
      <c r="D46" s="35">
        <f>IF(A46="",0,IF(G45&lt;=0,0,MIN(C46-E46,G45)))</f>
        <v>197.58</v>
      </c>
      <c r="E46" s="35">
        <f>IF(A46="",0,IF(G45&lt;=0,0,ROUND(G45*('Equity &amp; Loan Setup'!B8/12),2)))</f>
        <v>258.85</v>
      </c>
      <c r="F46" s="35">
        <f>IF(A46="",0,F45+C46)</f>
        <v>19170.06000000001</v>
      </c>
      <c r="G46" s="35">
        <f>IF(A46="",0,MAX(G45-D46,0))</f>
        <v>42645.85</v>
      </c>
      <c r="H46" s="35">
        <f>IF(A46="",0,H45+E46)</f>
        <v>11815.909999999998</v>
      </c>
    </row>
    <row r="47" ht="26" customHeight="1" spans="1:8" x14ac:dyDescent="0.25">
      <c r="A47" s="30">
        <f>IF(G46&gt;0,43,"")</f>
        <v>43</v>
      </c>
      <c r="B47" s="31">
        <f>IF(A47="","",DATE(YEAR('Equity &amp; Loan Setup'!B10),MONTH('Equity &amp; Loan Setup'!B10)+42,DAY('Equity &amp; Loan Setup'!B10)))</f>
        <v>47300</v>
      </c>
      <c r="C47" s="32">
        <f>IF(A47="",0,IF(G46&lt;=0,0,MIN('Equity &amp; Loan Setup'!B20,G46*(1+'Equity &amp; Loan Setup'!B8/12))))</f>
        <v>456.43</v>
      </c>
      <c r="D47" s="32">
        <f>IF(A47="",0,IF(G46&lt;=0,0,MIN(C47-E47,G46)))</f>
        <v>198.78</v>
      </c>
      <c r="E47" s="32">
        <f>IF(A47="",0,IF(G46&lt;=0,0,ROUND(G46*('Equity &amp; Loan Setup'!B8/12),2)))</f>
        <v>257.65</v>
      </c>
      <c r="F47" s="32">
        <f>IF(A47="",0,F46+C47)</f>
        <v>19626.49000000001</v>
      </c>
      <c r="G47" s="32">
        <f>IF(A47="",0,MAX(G46-D47,0))</f>
        <v>42447.07</v>
      </c>
      <c r="H47" s="32">
        <f>IF(A47="",0,H46+E47)</f>
        <v>12073.559999999998</v>
      </c>
    </row>
    <row r="48" ht="26" customHeight="1" spans="1:8" x14ac:dyDescent="0.25">
      <c r="A48" s="33">
        <f>IF(G47&gt;0,44,"")</f>
        <v>44</v>
      </c>
      <c r="B48" s="34">
        <f>IF(A48="","",DATE(YEAR('Equity &amp; Loan Setup'!B10),MONTH('Equity &amp; Loan Setup'!B10)+43,DAY('Equity &amp; Loan Setup'!B10)))</f>
        <v>47331</v>
      </c>
      <c r="C48" s="35">
        <f>IF(A48="",0,IF(G47&lt;=0,0,MIN('Equity &amp; Loan Setup'!B20,G47*(1+'Equity &amp; Loan Setup'!B8/12))))</f>
        <v>456.43</v>
      </c>
      <c r="D48" s="35">
        <f>IF(A48="",0,IF(G47&lt;=0,0,MIN(C48-E48,G47)))</f>
        <v>199.98</v>
      </c>
      <c r="E48" s="35">
        <f>IF(A48="",0,IF(G47&lt;=0,0,ROUND(G47*('Equity &amp; Loan Setup'!B8/12),2)))</f>
        <v>256.45</v>
      </c>
      <c r="F48" s="35">
        <f>IF(A48="",0,F47+C48)</f>
        <v>20082.92000000001</v>
      </c>
      <c r="G48" s="35">
        <f>IF(A48="",0,MAX(G47-D48,0))</f>
        <v>42247.09</v>
      </c>
      <c r="H48" s="35">
        <f>IF(A48="",0,H47+E48)</f>
        <v>12330.009999999998</v>
      </c>
    </row>
    <row r="49" ht="26" customHeight="1" spans="1:8" x14ac:dyDescent="0.25">
      <c r="A49" s="30">
        <f>IF(G48&gt;0,45,"")</f>
        <v>45</v>
      </c>
      <c r="B49" s="31">
        <f>IF(A49="","",DATE(YEAR('Equity &amp; Loan Setup'!B10),MONTH('Equity &amp; Loan Setup'!B10)+44,DAY('Equity &amp; Loan Setup'!B10)))</f>
        <v>47362</v>
      </c>
      <c r="C49" s="32">
        <f>IF(A49="",0,IF(G48&lt;=0,0,MIN('Equity &amp; Loan Setup'!B20,G48*(1+'Equity &amp; Loan Setup'!B8/12))))</f>
        <v>456.43</v>
      </c>
      <c r="D49" s="32">
        <f>IF(A49="",0,IF(G48&lt;=0,0,MIN(C49-E49,G48)))</f>
        <v>201.19</v>
      </c>
      <c r="E49" s="32">
        <f>IF(A49="",0,IF(G48&lt;=0,0,ROUND(G48*('Equity &amp; Loan Setup'!B8/12),2)))</f>
        <v>255.24</v>
      </c>
      <c r="F49" s="32">
        <f>IF(A49="",0,F48+C49)</f>
        <v>20539.35000000001</v>
      </c>
      <c r="G49" s="32">
        <f>IF(A49="",0,MAX(G48-D49,0))</f>
        <v>42045.9</v>
      </c>
      <c r="H49" s="32">
        <f>IF(A49="",0,H48+E49)</f>
        <v>12585.249999999998</v>
      </c>
    </row>
    <row r="50" ht="26" customHeight="1" spans="1:8" x14ac:dyDescent="0.25">
      <c r="A50" s="33">
        <f>IF(G49&gt;0,46,"")</f>
        <v>46</v>
      </c>
      <c r="B50" s="34">
        <f>IF(A50="","",DATE(YEAR('Equity &amp; Loan Setup'!B10),MONTH('Equity &amp; Loan Setup'!B10)+45,DAY('Equity &amp; Loan Setup'!B10)))</f>
        <v>47392</v>
      </c>
      <c r="C50" s="35">
        <f>IF(A50="",0,IF(G49&lt;=0,0,MIN('Equity &amp; Loan Setup'!B20,G49*(1+'Equity &amp; Loan Setup'!B8/12))))</f>
        <v>456.43</v>
      </c>
      <c r="D50" s="35">
        <f>IF(A50="",0,IF(G49&lt;=0,0,MIN(C50-E50,G49)))</f>
        <v>202.4</v>
      </c>
      <c r="E50" s="35">
        <f>IF(A50="",0,IF(G49&lt;=0,0,ROUND(G49*('Equity &amp; Loan Setup'!B8/12),2)))</f>
        <v>254.03</v>
      </c>
      <c r="F50" s="35">
        <f>IF(A50="",0,F49+C50)</f>
        <v>20995.78000000001</v>
      </c>
      <c r="G50" s="35">
        <f>IF(A50="",0,MAX(G49-D50,0))</f>
        <v>41843.5</v>
      </c>
      <c r="H50" s="35">
        <f>IF(A50="",0,H49+E50)</f>
        <v>12839.279999999999</v>
      </c>
    </row>
    <row r="51" ht="26" customHeight="1" spans="1:8" x14ac:dyDescent="0.25">
      <c r="A51" s="30">
        <f>IF(G50&gt;0,47,"")</f>
        <v>47</v>
      </c>
      <c r="B51" s="31">
        <f>IF(A51="","",DATE(YEAR('Equity &amp; Loan Setup'!B10),MONTH('Equity &amp; Loan Setup'!B10)+46,DAY('Equity &amp; Loan Setup'!B10)))</f>
        <v>47423</v>
      </c>
      <c r="C51" s="32">
        <f>IF(A51="",0,IF(G50&lt;=0,0,MIN('Equity &amp; Loan Setup'!B20,G50*(1+'Equity &amp; Loan Setup'!B8/12))))</f>
        <v>456.43</v>
      </c>
      <c r="D51" s="32">
        <f>IF(A51="",0,IF(G50&lt;=0,0,MIN(C51-E51,G50)))</f>
        <v>203.63</v>
      </c>
      <c r="E51" s="32">
        <f>IF(A51="",0,IF(G50&lt;=0,0,ROUND(G50*('Equity &amp; Loan Setup'!B8/12),2)))</f>
        <v>252.8</v>
      </c>
      <c r="F51" s="32">
        <f>IF(A51="",0,F50+C51)</f>
        <v>21452.21000000001</v>
      </c>
      <c r="G51" s="32">
        <f>IF(A51="",0,MAX(G50-D51,0))</f>
        <v>41639.87</v>
      </c>
      <c r="H51" s="32">
        <f>IF(A51="",0,H50+E51)</f>
        <v>13092.079999999998</v>
      </c>
    </row>
    <row r="52" ht="26" customHeight="1" spans="1:8" x14ac:dyDescent="0.25">
      <c r="A52" s="33">
        <f>IF(G51&gt;0,48,"")</f>
        <v>48</v>
      </c>
      <c r="B52" s="34">
        <f>IF(A52="","",DATE(YEAR('Equity &amp; Loan Setup'!B10),MONTH('Equity &amp; Loan Setup'!B10)+47,DAY('Equity &amp; Loan Setup'!B10)))</f>
        <v>47453</v>
      </c>
      <c r="C52" s="35">
        <f>IF(A52="",0,IF(G51&lt;=0,0,MIN('Equity &amp; Loan Setup'!B20,G51*(1+'Equity &amp; Loan Setup'!B8/12))))</f>
        <v>456.43</v>
      </c>
      <c r="D52" s="35">
        <f>IF(A52="",0,IF(G51&lt;=0,0,MIN(C52-E52,G51)))</f>
        <v>204.86</v>
      </c>
      <c r="E52" s="35">
        <f>IF(A52="",0,IF(G51&lt;=0,0,ROUND(G51*('Equity &amp; Loan Setup'!B8/12),2)))</f>
        <v>251.57</v>
      </c>
      <c r="F52" s="35">
        <f>IF(A52="",0,F51+C52)</f>
        <v>21908.64000000001</v>
      </c>
      <c r="G52" s="35">
        <f>IF(A52="",0,MAX(G51-D52,0))</f>
        <v>41435.01</v>
      </c>
      <c r="H52" s="35">
        <f>IF(A52="",0,H51+E52)</f>
        <v>13343.649999999998</v>
      </c>
    </row>
    <row r="53" ht="26" customHeight="1" spans="1:8" x14ac:dyDescent="0.25">
      <c r="A53" s="30">
        <f>IF(G52&gt;0,49,"")</f>
        <v>49</v>
      </c>
      <c r="B53" s="31">
        <f>IF(A53="","",DATE(YEAR('Equity &amp; Loan Setup'!B10),MONTH('Equity &amp; Loan Setup'!B10)+48,DAY('Equity &amp; Loan Setup'!B10)))</f>
        <v>47484</v>
      </c>
      <c r="C53" s="32">
        <f>IF(A53="",0,IF(G52&lt;=0,0,MIN('Equity &amp; Loan Setup'!B20,G52*(1+'Equity &amp; Loan Setup'!B8/12))))</f>
        <v>456.43</v>
      </c>
      <c r="D53" s="32">
        <f>IF(A53="",0,IF(G52&lt;=0,0,MIN(C53-E53,G52)))</f>
        <v>206.09</v>
      </c>
      <c r="E53" s="32">
        <f>IF(A53="",0,IF(G52&lt;=0,0,ROUND(G52*('Equity &amp; Loan Setup'!B8/12),2)))</f>
        <v>250.34</v>
      </c>
      <c r="F53" s="32">
        <f>IF(A53="",0,F52+C53)</f>
        <v>22365.07000000001</v>
      </c>
      <c r="G53" s="32">
        <f>IF(A53="",0,MAX(G52-D53,0))</f>
        <v>41228.92</v>
      </c>
      <c r="H53" s="32">
        <f>IF(A53="",0,H52+E53)</f>
        <v>13593.989999999998</v>
      </c>
    </row>
    <row r="54" ht="26" customHeight="1" spans="1:8" x14ac:dyDescent="0.25">
      <c r="A54" s="33">
        <f>IF(G53&gt;0,50,"")</f>
        <v>50</v>
      </c>
      <c r="B54" s="34">
        <f>IF(A54="","",DATE(YEAR('Equity &amp; Loan Setup'!B10),MONTH('Equity &amp; Loan Setup'!B10)+49,DAY('Equity &amp; Loan Setup'!B10)))</f>
        <v>47515</v>
      </c>
      <c r="C54" s="35">
        <f>IF(A54="",0,IF(G53&lt;=0,0,MIN('Equity &amp; Loan Setup'!B20,G53*(1+'Equity &amp; Loan Setup'!B8/12))))</f>
        <v>456.43</v>
      </c>
      <c r="D54" s="35">
        <f>IF(A54="",0,IF(G53&lt;=0,0,MIN(C54-E54,G53)))</f>
        <v>207.34</v>
      </c>
      <c r="E54" s="35">
        <f>IF(A54="",0,IF(G53&lt;=0,0,ROUND(G53*('Equity &amp; Loan Setup'!B8/12),2)))</f>
        <v>249.09</v>
      </c>
      <c r="F54" s="35">
        <f>IF(A54="",0,F53+C54)</f>
        <v>22821.50000000001</v>
      </c>
      <c r="G54" s="35">
        <f>IF(A54="",0,MAX(G53-D54,0))</f>
        <v>41021.58</v>
      </c>
      <c r="H54" s="35">
        <f>IF(A54="",0,H53+E54)</f>
        <v>13843.079999999998</v>
      </c>
    </row>
    <row r="55" ht="26" customHeight="1" spans="1:8" x14ac:dyDescent="0.25">
      <c r="A55" s="30">
        <f>IF(G54&gt;0,51,"")</f>
        <v>51</v>
      </c>
      <c r="B55" s="31">
        <f>IF(A55="","",DATE(YEAR('Equity &amp; Loan Setup'!B10),MONTH('Equity &amp; Loan Setup'!B10)+50,DAY('Equity &amp; Loan Setup'!B10)))</f>
        <v>47543</v>
      </c>
      <c r="C55" s="32">
        <f>IF(A55="",0,IF(G54&lt;=0,0,MIN('Equity &amp; Loan Setup'!B20,G54*(1+'Equity &amp; Loan Setup'!B8/12))))</f>
        <v>456.43</v>
      </c>
      <c r="D55" s="32">
        <f>IF(A55="",0,IF(G54&lt;=0,0,MIN(C55-E55,G54)))</f>
        <v>208.59</v>
      </c>
      <c r="E55" s="32">
        <f>IF(A55="",0,IF(G54&lt;=0,0,ROUND(G54*('Equity &amp; Loan Setup'!B8/12),2)))</f>
        <v>247.84</v>
      </c>
      <c r="F55" s="32">
        <f>IF(A55="",0,F54+C55)</f>
        <v>23277.93000000001</v>
      </c>
      <c r="G55" s="32">
        <f>IF(A55="",0,MAX(G54-D55,0))</f>
        <v>40812.99</v>
      </c>
      <c r="H55" s="32">
        <f>IF(A55="",0,H54+E55)</f>
        <v>14090.919999999998</v>
      </c>
    </row>
    <row r="56" ht="26" customHeight="1" spans="1:8" x14ac:dyDescent="0.25">
      <c r="A56" s="33">
        <f>IF(G55&gt;0,52,"")</f>
        <v>52</v>
      </c>
      <c r="B56" s="34">
        <f>IF(A56="","",DATE(YEAR('Equity &amp; Loan Setup'!B10),MONTH('Equity &amp; Loan Setup'!B10)+51,DAY('Equity &amp; Loan Setup'!B10)))</f>
        <v>47574</v>
      </c>
      <c r="C56" s="35">
        <f>IF(A56="",0,IF(G55&lt;=0,0,MIN('Equity &amp; Loan Setup'!B20,G55*(1+'Equity &amp; Loan Setup'!B8/12))))</f>
        <v>456.43</v>
      </c>
      <c r="D56" s="35">
        <f>IF(A56="",0,IF(G55&lt;=0,0,MIN(C56-E56,G55)))</f>
        <v>209.85</v>
      </c>
      <c r="E56" s="35">
        <f>IF(A56="",0,IF(G55&lt;=0,0,ROUND(G55*('Equity &amp; Loan Setup'!B8/12),2)))</f>
        <v>246.58</v>
      </c>
      <c r="F56" s="35">
        <f>IF(A56="",0,F55+C56)</f>
        <v>23734.36000000001</v>
      </c>
      <c r="G56" s="35">
        <f>IF(A56="",0,MAX(G55-D56,0))</f>
        <v>40603.14</v>
      </c>
      <c r="H56" s="35">
        <f>IF(A56="",0,H55+E56)</f>
        <v>14337.499999999998</v>
      </c>
    </row>
    <row r="57" ht="26" customHeight="1" spans="1:8" x14ac:dyDescent="0.25">
      <c r="A57" s="30">
        <f>IF(G56&gt;0,53,"")</f>
        <v>53</v>
      </c>
      <c r="B57" s="31">
        <f>IF(A57="","",DATE(YEAR('Equity &amp; Loan Setup'!B10),MONTH('Equity &amp; Loan Setup'!B10)+52,DAY('Equity &amp; Loan Setup'!B10)))</f>
        <v>47604</v>
      </c>
      <c r="C57" s="32">
        <f>IF(A57="",0,IF(G56&lt;=0,0,MIN('Equity &amp; Loan Setup'!B20,G56*(1+'Equity &amp; Loan Setup'!B8/12))))</f>
        <v>456.43</v>
      </c>
      <c r="D57" s="32">
        <f>IF(A57="",0,IF(G56&lt;=0,0,MIN(C57-E57,G56)))</f>
        <v>211.12</v>
      </c>
      <c r="E57" s="32">
        <f>IF(A57="",0,IF(G56&lt;=0,0,ROUND(G56*('Equity &amp; Loan Setup'!B8/12),2)))</f>
        <v>245.31</v>
      </c>
      <c r="F57" s="32">
        <f>IF(A57="",0,F56+C57)</f>
        <v>24190.79000000001</v>
      </c>
      <c r="G57" s="32">
        <f>IF(A57="",0,MAX(G56-D57,0))</f>
        <v>40392.02</v>
      </c>
      <c r="H57" s="32">
        <f>IF(A57="",0,H56+E57)</f>
        <v>14582.809999999998</v>
      </c>
    </row>
    <row r="58" ht="26" customHeight="1" spans="1:8" x14ac:dyDescent="0.25">
      <c r="A58" s="33">
        <f>IF(G57&gt;0,54,"")</f>
        <v>54</v>
      </c>
      <c r="B58" s="34">
        <f>IF(A58="","",DATE(YEAR('Equity &amp; Loan Setup'!B10),MONTH('Equity &amp; Loan Setup'!B10)+53,DAY('Equity &amp; Loan Setup'!B10)))</f>
        <v>47635</v>
      </c>
      <c r="C58" s="35">
        <f>IF(A58="",0,IF(G57&lt;=0,0,MIN('Equity &amp; Loan Setup'!B20,G57*(1+'Equity &amp; Loan Setup'!B8/12))))</f>
        <v>456.43</v>
      </c>
      <c r="D58" s="35">
        <f>IF(A58="",0,IF(G57&lt;=0,0,MIN(C58-E58,G57)))</f>
        <v>212.39</v>
      </c>
      <c r="E58" s="35">
        <f>IF(A58="",0,IF(G57&lt;=0,0,ROUND(G57*('Equity &amp; Loan Setup'!B8/12),2)))</f>
        <v>244.04</v>
      </c>
      <c r="F58" s="35">
        <f>IF(A58="",0,F57+C58)</f>
        <v>24647.220000000012</v>
      </c>
      <c r="G58" s="35">
        <f>IF(A58="",0,MAX(G57-D58,0))</f>
        <v>40179.63</v>
      </c>
      <c r="H58" s="35">
        <f>IF(A58="",0,H57+E58)</f>
        <v>14826.849999999999</v>
      </c>
    </row>
    <row r="59" ht="26" customHeight="1" spans="1:8" x14ac:dyDescent="0.25">
      <c r="A59" s="30">
        <f>IF(G58&gt;0,55,"")</f>
        <v>55</v>
      </c>
      <c r="B59" s="31">
        <f>IF(A59="","",DATE(YEAR('Equity &amp; Loan Setup'!B10),MONTH('Equity &amp; Loan Setup'!B10)+54,DAY('Equity &amp; Loan Setup'!B10)))</f>
        <v>47665</v>
      </c>
      <c r="C59" s="32">
        <f>IF(A59="",0,IF(G58&lt;=0,0,MIN('Equity &amp; Loan Setup'!B20,G58*(1+'Equity &amp; Loan Setup'!B8/12))))</f>
        <v>456.43</v>
      </c>
      <c r="D59" s="32">
        <f>IF(A59="",0,IF(G58&lt;=0,0,MIN(C59-E59,G58)))</f>
        <v>213.68</v>
      </c>
      <c r="E59" s="32">
        <f>IF(A59="",0,IF(G58&lt;=0,0,ROUND(G58*('Equity &amp; Loan Setup'!B8/12),2)))</f>
        <v>242.75</v>
      </c>
      <c r="F59" s="32">
        <f>IF(A59="",0,F58+C59)</f>
        <v>25103.650000000012</v>
      </c>
      <c r="G59" s="32">
        <f>IF(A59="",0,MAX(G58-D59,0))</f>
        <v>39965.95</v>
      </c>
      <c r="H59" s="32">
        <f>IF(A59="",0,H58+E59)</f>
        <v>15069.599999999999</v>
      </c>
    </row>
    <row r="60" ht="26" customHeight="1" spans="1:8" x14ac:dyDescent="0.25">
      <c r="A60" s="33">
        <f>IF(G59&gt;0,56,"")</f>
        <v>56</v>
      </c>
      <c r="B60" s="34">
        <f>IF(A60="","",DATE(YEAR('Equity &amp; Loan Setup'!B10),MONTH('Equity &amp; Loan Setup'!B10)+55,DAY('Equity &amp; Loan Setup'!B10)))</f>
        <v>47696</v>
      </c>
      <c r="C60" s="35">
        <f>IF(A60="",0,IF(G59&lt;=0,0,MIN('Equity &amp; Loan Setup'!B20,G59*(1+'Equity &amp; Loan Setup'!B8/12))))</f>
        <v>456.43</v>
      </c>
      <c r="D60" s="35">
        <f>IF(A60="",0,IF(G59&lt;=0,0,MIN(C60-E60,G59)))</f>
        <v>214.97</v>
      </c>
      <c r="E60" s="35">
        <f>IF(A60="",0,IF(G59&lt;=0,0,ROUND(G59*('Equity &amp; Loan Setup'!B8/12),2)))</f>
        <v>241.46</v>
      </c>
      <c r="F60" s="35">
        <f>IF(A60="",0,F59+C60)</f>
        <v>25560.080000000013</v>
      </c>
      <c r="G60" s="35">
        <f>IF(A60="",0,MAX(G59-D60,0))</f>
        <v>39750.98</v>
      </c>
      <c r="H60" s="35">
        <f>IF(A60="",0,H59+E60)</f>
        <v>15311.059999999998</v>
      </c>
    </row>
    <row r="61" ht="26" customHeight="1" spans="1:8" x14ac:dyDescent="0.25">
      <c r="A61" s="30">
        <f>IF(G60&gt;0,57,"")</f>
        <v>57</v>
      </c>
      <c r="B61" s="31">
        <f>IF(A61="","",DATE(YEAR('Equity &amp; Loan Setup'!B10),MONTH('Equity &amp; Loan Setup'!B10)+56,DAY('Equity &amp; Loan Setup'!B10)))</f>
        <v>47727</v>
      </c>
      <c r="C61" s="32">
        <f>IF(A61="",0,IF(G60&lt;=0,0,MIN('Equity &amp; Loan Setup'!B20,G60*(1+'Equity &amp; Loan Setup'!B8/12))))</f>
        <v>456.43</v>
      </c>
      <c r="D61" s="32">
        <f>IF(A61="",0,IF(G60&lt;=0,0,MIN(C61-E61,G60)))</f>
        <v>216.27</v>
      </c>
      <c r="E61" s="32">
        <f>IF(A61="",0,IF(G60&lt;=0,0,ROUND(G60*('Equity &amp; Loan Setup'!B8/12),2)))</f>
        <v>240.16</v>
      </c>
      <c r="F61" s="32">
        <f>IF(A61="",0,F60+C61)</f>
        <v>26016.510000000013</v>
      </c>
      <c r="G61" s="32">
        <f>IF(A61="",0,MAX(G60-D61,0))</f>
        <v>39534.71</v>
      </c>
      <c r="H61" s="32">
        <f>IF(A61="",0,H60+E61)</f>
        <v>15551.219999999998</v>
      </c>
    </row>
    <row r="62" ht="26" customHeight="1" spans="1:8" x14ac:dyDescent="0.25">
      <c r="A62" s="33">
        <f>IF(G61&gt;0,58,"")</f>
        <v>58</v>
      </c>
      <c r="B62" s="34">
        <f>IF(A62="","",DATE(YEAR('Equity &amp; Loan Setup'!B10),MONTH('Equity &amp; Loan Setup'!B10)+57,DAY('Equity &amp; Loan Setup'!B10)))</f>
        <v>47757</v>
      </c>
      <c r="C62" s="35">
        <f>IF(A62="",0,IF(G61&lt;=0,0,MIN('Equity &amp; Loan Setup'!B20,G61*(1+'Equity &amp; Loan Setup'!B8/12))))</f>
        <v>456.43</v>
      </c>
      <c r="D62" s="35">
        <f>IF(A62="",0,IF(G61&lt;=0,0,MIN(C62-E62,G61)))</f>
        <v>217.57</v>
      </c>
      <c r="E62" s="35">
        <f>IF(A62="",0,IF(G61&lt;=0,0,ROUND(G61*('Equity &amp; Loan Setup'!B8/12),2)))</f>
        <v>238.86</v>
      </c>
      <c r="F62" s="35">
        <f>IF(A62="",0,F61+C62)</f>
        <v>26472.940000000013</v>
      </c>
      <c r="G62" s="35">
        <f>IF(A62="",0,MAX(G61-D62,0))</f>
        <v>39317.14</v>
      </c>
      <c r="H62" s="35">
        <f>IF(A62="",0,H61+E62)</f>
        <v>15790.079999999998</v>
      </c>
    </row>
    <row r="63" ht="26" customHeight="1" spans="1:8" x14ac:dyDescent="0.25">
      <c r="A63" s="30">
        <f>IF(G62&gt;0,59,"")</f>
        <v>59</v>
      </c>
      <c r="B63" s="31">
        <f>IF(A63="","",DATE(YEAR('Equity &amp; Loan Setup'!B10),MONTH('Equity &amp; Loan Setup'!B10)+58,DAY('Equity &amp; Loan Setup'!B10)))</f>
        <v>47788</v>
      </c>
      <c r="C63" s="32">
        <f>IF(A63="",0,IF(G62&lt;=0,0,MIN('Equity &amp; Loan Setup'!B20,G62*(1+'Equity &amp; Loan Setup'!B8/12))))</f>
        <v>456.43</v>
      </c>
      <c r="D63" s="32">
        <f>IF(A63="",0,IF(G62&lt;=0,0,MIN(C63-E63,G62)))</f>
        <v>218.89</v>
      </c>
      <c r="E63" s="32">
        <f>IF(A63="",0,IF(G62&lt;=0,0,ROUND(G62*('Equity &amp; Loan Setup'!B8/12),2)))</f>
        <v>237.54</v>
      </c>
      <c r="F63" s="32">
        <f>IF(A63="",0,F62+C63)</f>
        <v>26929.370000000014</v>
      </c>
      <c r="G63" s="32">
        <f>IF(A63="",0,MAX(G62-D63,0))</f>
        <v>39098.25</v>
      </c>
      <c r="H63" s="32">
        <f>IF(A63="",0,H62+E63)</f>
        <v>16027.619999999999</v>
      </c>
    </row>
    <row r="64" ht="26" customHeight="1" spans="1:8" x14ac:dyDescent="0.25">
      <c r="A64" s="33">
        <f>IF(G63&gt;0,60,"")</f>
        <v>60</v>
      </c>
      <c r="B64" s="34">
        <f>IF(A64="","",DATE(YEAR('Equity &amp; Loan Setup'!B10),MONTH('Equity &amp; Loan Setup'!B10)+59,DAY('Equity &amp; Loan Setup'!B10)))</f>
        <v>47818</v>
      </c>
      <c r="C64" s="35">
        <f>IF(A64="",0,IF(G63&lt;=0,0,MIN('Equity &amp; Loan Setup'!B20,G63*(1+'Equity &amp; Loan Setup'!B8/12))))</f>
        <v>456.43</v>
      </c>
      <c r="D64" s="35">
        <f>IF(A64="",0,IF(G63&lt;=0,0,MIN(C64-E64,G63)))</f>
        <v>220.21</v>
      </c>
      <c r="E64" s="35">
        <f>IF(A64="",0,IF(G63&lt;=0,0,ROUND(G63*('Equity &amp; Loan Setup'!B8/12),2)))</f>
        <v>236.22</v>
      </c>
      <c r="F64" s="35">
        <f>IF(A64="",0,F63+C64)</f>
        <v>27385.800000000014</v>
      </c>
      <c r="G64" s="35">
        <f>IF(A64="",0,MAX(G63-D64,0))</f>
        <v>38878.04</v>
      </c>
      <c r="H64" s="35">
        <f>IF(A64="",0,H63+E64)</f>
        <v>16263.839999999998</v>
      </c>
    </row>
    <row r="65" ht="26" customHeight="1" spans="1:8" x14ac:dyDescent="0.25">
      <c r="A65" s="30">
        <f>IF(G64&gt;0,61,"")</f>
        <v>61</v>
      </c>
      <c r="B65" s="31">
        <f>IF(A65="","",DATE(YEAR('Equity &amp; Loan Setup'!B10),MONTH('Equity &amp; Loan Setup'!B10)+60,DAY('Equity &amp; Loan Setup'!B10)))</f>
        <v>47849</v>
      </c>
      <c r="C65" s="32">
        <f>IF(A65="",0,IF(G64&lt;=0,0,MIN('Equity &amp; Loan Setup'!B20,G64*(1+'Equity &amp; Loan Setup'!B8/12))))</f>
        <v>456.43</v>
      </c>
      <c r="D65" s="32">
        <f>IF(A65="",0,IF(G64&lt;=0,0,MIN(C65-E65,G64)))</f>
        <v>221.54</v>
      </c>
      <c r="E65" s="32">
        <f>IF(A65="",0,IF(G64&lt;=0,0,ROUND(G64*('Equity &amp; Loan Setup'!B8/12),2)))</f>
        <v>234.89</v>
      </c>
      <c r="F65" s="32">
        <f>IF(A65="",0,F64+C65)</f>
        <v>27842.230000000014</v>
      </c>
      <c r="G65" s="32">
        <f>IF(A65="",0,MAX(G64-D65,0))</f>
        <v>38656.5</v>
      </c>
      <c r="H65" s="32">
        <f>IF(A65="",0,H64+E65)</f>
        <v>16498.73</v>
      </c>
    </row>
    <row r="66" ht="26" customHeight="1" spans="1:8" x14ac:dyDescent="0.25">
      <c r="A66" s="33">
        <f>IF(G65&gt;0,62,"")</f>
        <v>62</v>
      </c>
      <c r="B66" s="34">
        <f>IF(A66="","",DATE(YEAR('Equity &amp; Loan Setup'!B10),MONTH('Equity &amp; Loan Setup'!B10)+61,DAY('Equity &amp; Loan Setup'!B10)))</f>
        <v>47880</v>
      </c>
      <c r="C66" s="35">
        <f>IF(A66="",0,IF(G65&lt;=0,0,MIN('Equity &amp; Loan Setup'!B20,G65*(1+'Equity &amp; Loan Setup'!B8/12))))</f>
        <v>456.43</v>
      </c>
      <c r="D66" s="35">
        <f>IF(A66="",0,IF(G65&lt;=0,0,MIN(C66-E66,G65)))</f>
        <v>222.88</v>
      </c>
      <c r="E66" s="35">
        <f>IF(A66="",0,IF(G65&lt;=0,0,ROUND(G65*('Equity &amp; Loan Setup'!B8/12),2)))</f>
        <v>233.55</v>
      </c>
      <c r="F66" s="35">
        <f>IF(A66="",0,F65+C66)</f>
        <v>28298.660000000014</v>
      </c>
      <c r="G66" s="35">
        <f>IF(A66="",0,MAX(G65-D66,0))</f>
        <v>38433.62</v>
      </c>
      <c r="H66" s="35">
        <f>IF(A66="",0,H65+E66)</f>
        <v>16732.28</v>
      </c>
    </row>
    <row r="67" ht="26" customHeight="1" spans="1:8" x14ac:dyDescent="0.25">
      <c r="A67" s="30">
        <f>IF(G66&gt;0,63,"")</f>
        <v>63</v>
      </c>
      <c r="B67" s="31">
        <f>IF(A67="","",DATE(YEAR('Equity &amp; Loan Setup'!B10),MONTH('Equity &amp; Loan Setup'!B10)+62,DAY('Equity &amp; Loan Setup'!B10)))</f>
        <v>47908</v>
      </c>
      <c r="C67" s="32">
        <f>IF(A67="",0,IF(G66&lt;=0,0,MIN('Equity &amp; Loan Setup'!B20,G66*(1+'Equity &amp; Loan Setup'!B8/12))))</f>
        <v>456.43</v>
      </c>
      <c r="D67" s="32">
        <f>IF(A67="",0,IF(G66&lt;=0,0,MIN(C67-E67,G66)))</f>
        <v>224.23</v>
      </c>
      <c r="E67" s="32">
        <f>IF(A67="",0,IF(G66&lt;=0,0,ROUND(G66*('Equity &amp; Loan Setup'!B8/12),2)))</f>
        <v>232.2</v>
      </c>
      <c r="F67" s="32">
        <f>IF(A67="",0,F66+C67)</f>
        <v>28755.090000000015</v>
      </c>
      <c r="G67" s="32">
        <f>IF(A67="",0,MAX(G66-D67,0))</f>
        <v>38209.39</v>
      </c>
      <c r="H67" s="32">
        <f>IF(A67="",0,H66+E67)</f>
        <v>16964.48</v>
      </c>
    </row>
    <row r="68" ht="26" customHeight="1" spans="1:8" x14ac:dyDescent="0.25">
      <c r="A68" s="33">
        <f>IF(G67&gt;0,64,"")</f>
        <v>64</v>
      </c>
      <c r="B68" s="34">
        <f>IF(A68="","",DATE(YEAR('Equity &amp; Loan Setup'!B10),MONTH('Equity &amp; Loan Setup'!B10)+63,DAY('Equity &amp; Loan Setup'!B10)))</f>
        <v>47939</v>
      </c>
      <c r="C68" s="35">
        <f>IF(A68="",0,IF(G67&lt;=0,0,MIN('Equity &amp; Loan Setup'!B20,G67*(1+'Equity &amp; Loan Setup'!B8/12))))</f>
        <v>456.43</v>
      </c>
      <c r="D68" s="35">
        <f>IF(A68="",0,IF(G67&lt;=0,0,MIN(C68-E68,G67)))</f>
        <v>225.58</v>
      </c>
      <c r="E68" s="35">
        <f>IF(A68="",0,IF(G67&lt;=0,0,ROUND(G67*('Equity &amp; Loan Setup'!B8/12),2)))</f>
        <v>230.85</v>
      </c>
      <c r="F68" s="35">
        <f>IF(A68="",0,F67+C68)</f>
        <v>29211.520000000015</v>
      </c>
      <c r="G68" s="35">
        <f>IF(A68="",0,MAX(G67-D68,0))</f>
        <v>37983.81</v>
      </c>
      <c r="H68" s="35">
        <f>IF(A68="",0,H67+E68)</f>
        <v>17195.329999999998</v>
      </c>
    </row>
    <row r="69" ht="26" customHeight="1" spans="1:8" x14ac:dyDescent="0.25">
      <c r="A69" s="30">
        <f>IF(G68&gt;0,65,"")</f>
        <v>65</v>
      </c>
      <c r="B69" s="31">
        <f>IF(A69="","",DATE(YEAR('Equity &amp; Loan Setup'!B10),MONTH('Equity &amp; Loan Setup'!B10)+64,DAY('Equity &amp; Loan Setup'!B10)))</f>
        <v>47969</v>
      </c>
      <c r="C69" s="32">
        <f>IF(A69="",0,IF(G68&lt;=0,0,MIN('Equity &amp; Loan Setup'!B20,G68*(1+'Equity &amp; Loan Setup'!B8/12))))</f>
        <v>456.43</v>
      </c>
      <c r="D69" s="32">
        <f>IF(A69="",0,IF(G68&lt;=0,0,MIN(C69-E69,G68)))</f>
        <v>226.94</v>
      </c>
      <c r="E69" s="32">
        <f>IF(A69="",0,IF(G68&lt;=0,0,ROUND(G68*('Equity &amp; Loan Setup'!B8/12),2)))</f>
        <v>229.49</v>
      </c>
      <c r="F69" s="32">
        <f>IF(A69="",0,F68+C69)</f>
        <v>29667.950000000015</v>
      </c>
      <c r="G69" s="32">
        <f>IF(A69="",0,MAX(G68-D69,0))</f>
        <v>37756.87</v>
      </c>
      <c r="H69" s="32">
        <f>IF(A69="",0,H68+E69)</f>
        <v>17424.82</v>
      </c>
    </row>
    <row r="70" ht="26" customHeight="1" spans="1:8" x14ac:dyDescent="0.25">
      <c r="A70" s="33">
        <f>IF(G69&gt;0,66,"")</f>
        <v>66</v>
      </c>
      <c r="B70" s="34">
        <f>IF(A70="","",DATE(YEAR('Equity &amp; Loan Setup'!B10),MONTH('Equity &amp; Loan Setup'!B10)+65,DAY('Equity &amp; Loan Setup'!B10)))</f>
        <v>48000</v>
      </c>
      <c r="C70" s="35">
        <f>IF(A70="",0,IF(G69&lt;=0,0,MIN('Equity &amp; Loan Setup'!B20,G69*(1+'Equity &amp; Loan Setup'!B8/12))))</f>
        <v>456.43</v>
      </c>
      <c r="D70" s="35">
        <f>IF(A70="",0,IF(G69&lt;=0,0,MIN(C70-E70,G69)))</f>
        <v>228.32</v>
      </c>
      <c r="E70" s="35">
        <f>IF(A70="",0,IF(G69&lt;=0,0,ROUND(G69*('Equity &amp; Loan Setup'!B8/12),2)))</f>
        <v>228.11</v>
      </c>
      <c r="F70" s="35">
        <f>IF(A70="",0,F69+C70)</f>
        <v>30124.380000000016</v>
      </c>
      <c r="G70" s="35">
        <f>IF(A70="",0,MAX(G69-D70,0))</f>
        <v>37528.55</v>
      </c>
      <c r="H70" s="35">
        <f>IF(A70="",0,H69+E70)</f>
        <v>17652.93</v>
      </c>
    </row>
    <row r="71" ht="26" customHeight="1" spans="1:8" x14ac:dyDescent="0.25">
      <c r="A71" s="30">
        <f>IF(G70&gt;0,67,"")</f>
        <v>67</v>
      </c>
      <c r="B71" s="31">
        <f>IF(A71="","",DATE(YEAR('Equity &amp; Loan Setup'!B10),MONTH('Equity &amp; Loan Setup'!B10)+66,DAY('Equity &amp; Loan Setup'!B10)))</f>
        <v>48030</v>
      </c>
      <c r="C71" s="32">
        <f>IF(A71="",0,IF(G70&lt;=0,0,MIN('Equity &amp; Loan Setup'!B20,G70*(1+'Equity &amp; Loan Setup'!B8/12))))</f>
        <v>456.43</v>
      </c>
      <c r="D71" s="32">
        <f>IF(A71="",0,IF(G70&lt;=0,0,MIN(C71-E71,G70)))</f>
        <v>229.7</v>
      </c>
      <c r="E71" s="32">
        <f>IF(A71="",0,IF(G70&lt;=0,0,ROUND(G70*('Equity &amp; Loan Setup'!B8/12),2)))</f>
        <v>226.73</v>
      </c>
      <c r="F71" s="32">
        <f>IF(A71="",0,F70+C71)</f>
        <v>30580.810000000016</v>
      </c>
      <c r="G71" s="32">
        <f>IF(A71="",0,MAX(G70-D71,0))</f>
        <v>37298.85</v>
      </c>
      <c r="H71" s="32">
        <f>IF(A71="",0,H70+E71)</f>
        <v>17879.66</v>
      </c>
    </row>
    <row r="72" ht="26" customHeight="1" spans="1:8" x14ac:dyDescent="0.25">
      <c r="A72" s="33">
        <f>IF(G71&gt;0,68,"")</f>
        <v>68</v>
      </c>
      <c r="B72" s="34">
        <f>IF(A72="","",DATE(YEAR('Equity &amp; Loan Setup'!B10),MONTH('Equity &amp; Loan Setup'!B10)+67,DAY('Equity &amp; Loan Setup'!B10)))</f>
        <v>48061</v>
      </c>
      <c r="C72" s="35">
        <f>IF(A72="",0,IF(G71&lt;=0,0,MIN('Equity &amp; Loan Setup'!B20,G71*(1+'Equity &amp; Loan Setup'!B8/12))))</f>
        <v>456.43</v>
      </c>
      <c r="D72" s="35">
        <f>IF(A72="",0,IF(G71&lt;=0,0,MIN(C72-E72,G71)))</f>
        <v>231.08</v>
      </c>
      <c r="E72" s="35">
        <f>IF(A72="",0,IF(G71&lt;=0,0,ROUND(G71*('Equity &amp; Loan Setup'!B8/12),2)))</f>
        <v>225.35</v>
      </c>
      <c r="F72" s="35">
        <f>IF(A72="",0,F71+C72)</f>
        <v>31037.240000000016</v>
      </c>
      <c r="G72" s="35">
        <f>IF(A72="",0,MAX(G71-D72,0))</f>
        <v>37067.77</v>
      </c>
      <c r="H72" s="35">
        <f>IF(A72="",0,H71+E72)</f>
        <v>18105.01</v>
      </c>
    </row>
    <row r="73" ht="26" customHeight="1" spans="1:8" x14ac:dyDescent="0.25">
      <c r="A73" s="30">
        <f>IF(G72&gt;0,69,"")</f>
        <v>69</v>
      </c>
      <c r="B73" s="31">
        <f>IF(A73="","",DATE(YEAR('Equity &amp; Loan Setup'!B10),MONTH('Equity &amp; Loan Setup'!B10)+68,DAY('Equity &amp; Loan Setup'!B10)))</f>
        <v>48092</v>
      </c>
      <c r="C73" s="32">
        <f>IF(A73="",0,IF(G72&lt;=0,0,MIN('Equity &amp; Loan Setup'!B20,G72*(1+'Equity &amp; Loan Setup'!B8/12))))</f>
        <v>456.43</v>
      </c>
      <c r="D73" s="32">
        <f>IF(A73="",0,IF(G72&lt;=0,0,MIN(C73-E73,G72)))</f>
        <v>232.48</v>
      </c>
      <c r="E73" s="32">
        <f>IF(A73="",0,IF(G72&lt;=0,0,ROUND(G72*('Equity &amp; Loan Setup'!B8/12),2)))</f>
        <v>223.95</v>
      </c>
      <c r="F73" s="32">
        <f>IF(A73="",0,F72+C73)</f>
        <v>31493.670000000016</v>
      </c>
      <c r="G73" s="32">
        <f>IF(A73="",0,MAX(G72-D73,0))</f>
        <v>36835.29</v>
      </c>
      <c r="H73" s="32">
        <f>IF(A73="",0,H72+E73)</f>
        <v>18328.96</v>
      </c>
    </row>
    <row r="74" ht="26" customHeight="1" spans="1:8" x14ac:dyDescent="0.25">
      <c r="A74" s="33">
        <f>IF(G73&gt;0,70,"")</f>
        <v>70</v>
      </c>
      <c r="B74" s="34">
        <f>IF(A74="","",DATE(YEAR('Equity &amp; Loan Setup'!B10),MONTH('Equity &amp; Loan Setup'!B10)+69,DAY('Equity &amp; Loan Setup'!B10)))</f>
        <v>48122</v>
      </c>
      <c r="C74" s="35">
        <f>IF(A74="",0,IF(G73&lt;=0,0,MIN('Equity &amp; Loan Setup'!B20,G73*(1+'Equity &amp; Loan Setup'!B8/12))))</f>
        <v>456.43</v>
      </c>
      <c r="D74" s="35">
        <f>IF(A74="",0,IF(G73&lt;=0,0,MIN(C74-E74,G73)))</f>
        <v>233.88</v>
      </c>
      <c r="E74" s="35">
        <f>IF(A74="",0,IF(G73&lt;=0,0,ROUND(G73*('Equity &amp; Loan Setup'!B8/12),2)))</f>
        <v>222.55</v>
      </c>
      <c r="F74" s="35">
        <f>IF(A74="",0,F73+C74)</f>
        <v>31950.100000000017</v>
      </c>
      <c r="G74" s="35">
        <f>IF(A74="",0,MAX(G73-D74,0))</f>
        <v>36601.41</v>
      </c>
      <c r="H74" s="35">
        <f>IF(A74="",0,H73+E74)</f>
        <v>18551.51</v>
      </c>
    </row>
    <row r="75" ht="26" customHeight="1" spans="1:8" x14ac:dyDescent="0.25">
      <c r="A75" s="30">
        <f>IF(G74&gt;0,71,"")</f>
        <v>71</v>
      </c>
      <c r="B75" s="31">
        <f>IF(A75="","",DATE(YEAR('Equity &amp; Loan Setup'!B10),MONTH('Equity &amp; Loan Setup'!B10)+70,DAY('Equity &amp; Loan Setup'!B10)))</f>
        <v>48153</v>
      </c>
      <c r="C75" s="32">
        <f>IF(A75="",0,IF(G74&lt;=0,0,MIN('Equity &amp; Loan Setup'!B20,G74*(1+'Equity &amp; Loan Setup'!B8/12))))</f>
        <v>456.43</v>
      </c>
      <c r="D75" s="32">
        <f>IF(A75="",0,IF(G74&lt;=0,0,MIN(C75-E75,G74)))</f>
        <v>235.3</v>
      </c>
      <c r="E75" s="32">
        <f>IF(A75="",0,IF(G74&lt;=0,0,ROUND(G74*('Equity &amp; Loan Setup'!B8/12),2)))</f>
        <v>221.13</v>
      </c>
      <c r="F75" s="32">
        <f>IF(A75="",0,F74+C75)</f>
        <v>32406.530000000017</v>
      </c>
      <c r="G75" s="32">
        <f>IF(A75="",0,MAX(G74-D75,0))</f>
        <v>36366.11</v>
      </c>
      <c r="H75" s="32">
        <f>IF(A75="",0,H74+E75)</f>
        <v>18772.64</v>
      </c>
    </row>
    <row r="76" ht="26" customHeight="1" spans="1:8" x14ac:dyDescent="0.25">
      <c r="A76" s="33">
        <f>IF(G75&gt;0,72,"")</f>
        <v>72</v>
      </c>
      <c r="B76" s="34">
        <f>IF(A76="","",DATE(YEAR('Equity &amp; Loan Setup'!B10),MONTH('Equity &amp; Loan Setup'!B10)+71,DAY('Equity &amp; Loan Setup'!B10)))</f>
        <v>48183</v>
      </c>
      <c r="C76" s="35">
        <f>IF(A76="",0,IF(G75&lt;=0,0,MIN('Equity &amp; Loan Setup'!B20,G75*(1+'Equity &amp; Loan Setup'!B8/12))))</f>
        <v>456.43</v>
      </c>
      <c r="D76" s="35">
        <f>IF(A76="",0,IF(G75&lt;=0,0,MIN(C76-E76,G75)))</f>
        <v>236.72</v>
      </c>
      <c r="E76" s="35">
        <f>IF(A76="",0,IF(G75&lt;=0,0,ROUND(G75*('Equity &amp; Loan Setup'!B8/12),2)))</f>
        <v>219.71</v>
      </c>
      <c r="F76" s="35">
        <f>IF(A76="",0,F75+C76)</f>
        <v>32862.960000000014</v>
      </c>
      <c r="G76" s="35">
        <f>IF(A76="",0,MAX(G75-D76,0))</f>
        <v>36129.39</v>
      </c>
      <c r="H76" s="35">
        <f>IF(A76="",0,H75+E76)</f>
        <v>18992.35</v>
      </c>
    </row>
    <row r="77" ht="26" customHeight="1" spans="1:8" x14ac:dyDescent="0.25">
      <c r="A77" s="30">
        <f>IF(G76&gt;0,73,"")</f>
        <v>73</v>
      </c>
      <c r="B77" s="31">
        <f>IF(A77="","",DATE(YEAR('Equity &amp; Loan Setup'!B10),MONTH('Equity &amp; Loan Setup'!B10)+72,DAY('Equity &amp; Loan Setup'!B10)))</f>
        <v>48214</v>
      </c>
      <c r="C77" s="32">
        <f>IF(A77="",0,IF(G76&lt;=0,0,MIN('Equity &amp; Loan Setup'!B20,G76*(1+'Equity &amp; Loan Setup'!B8/12))))</f>
        <v>456.43</v>
      </c>
      <c r="D77" s="32">
        <f>IF(A77="",0,IF(G76&lt;=0,0,MIN(C77-E77,G76)))</f>
        <v>238.15</v>
      </c>
      <c r="E77" s="32">
        <f>IF(A77="",0,IF(G76&lt;=0,0,ROUND(G76*('Equity &amp; Loan Setup'!B8/12),2)))</f>
        <v>218.28</v>
      </c>
      <c r="F77" s="32">
        <f>IF(A77="",0,F76+C77)</f>
        <v>33319.390000000014</v>
      </c>
      <c r="G77" s="32">
        <f>IF(A77="",0,MAX(G76-D77,0))</f>
        <v>35891.24</v>
      </c>
      <c r="H77" s="32">
        <f>IF(A77="",0,H76+E77)</f>
        <v>19210.629999999997</v>
      </c>
    </row>
    <row r="78" ht="26" customHeight="1" spans="1:8" x14ac:dyDescent="0.25">
      <c r="A78" s="33">
        <f>IF(G77&gt;0,74,"")</f>
        <v>74</v>
      </c>
      <c r="B78" s="34">
        <f>IF(A78="","",DATE(YEAR('Equity &amp; Loan Setup'!B10),MONTH('Equity &amp; Loan Setup'!B10)+73,DAY('Equity &amp; Loan Setup'!B10)))</f>
        <v>48245</v>
      </c>
      <c r="C78" s="35">
        <f>IF(A78="",0,IF(G77&lt;=0,0,MIN('Equity &amp; Loan Setup'!B20,G77*(1+'Equity &amp; Loan Setup'!B8/12))))</f>
        <v>456.43</v>
      </c>
      <c r="D78" s="35">
        <f>IF(A78="",0,IF(G77&lt;=0,0,MIN(C78-E78,G77)))</f>
        <v>239.59</v>
      </c>
      <c r="E78" s="35">
        <f>IF(A78="",0,IF(G77&lt;=0,0,ROUND(G77*('Equity &amp; Loan Setup'!B8/12),2)))</f>
        <v>216.84</v>
      </c>
      <c r="F78" s="35">
        <f>IF(A78="",0,F77+C78)</f>
        <v>33775.820000000014</v>
      </c>
      <c r="G78" s="35">
        <f>IF(A78="",0,MAX(G77-D78,0))</f>
        <v>35651.65</v>
      </c>
      <c r="H78" s="35">
        <f>IF(A78="",0,H77+E78)</f>
        <v>19427.469999999998</v>
      </c>
    </row>
    <row r="79" ht="26" customHeight="1" spans="1:8" x14ac:dyDescent="0.25">
      <c r="A79" s="30">
        <f>IF(G78&gt;0,75,"")</f>
        <v>75</v>
      </c>
      <c r="B79" s="31">
        <f>IF(A79="","",DATE(YEAR('Equity &amp; Loan Setup'!B10),MONTH('Equity &amp; Loan Setup'!B10)+74,DAY('Equity &amp; Loan Setup'!B10)))</f>
        <v>48274</v>
      </c>
      <c r="C79" s="32">
        <f>IF(A79="",0,IF(G78&lt;=0,0,MIN('Equity &amp; Loan Setup'!B20,G78*(1+'Equity &amp; Loan Setup'!B8/12))))</f>
        <v>456.43</v>
      </c>
      <c r="D79" s="32">
        <f>IF(A79="",0,IF(G78&lt;=0,0,MIN(C79-E79,G78)))</f>
        <v>241.03</v>
      </c>
      <c r="E79" s="32">
        <f>IF(A79="",0,IF(G78&lt;=0,0,ROUND(G78*('Equity &amp; Loan Setup'!B8/12),2)))</f>
        <v>215.4</v>
      </c>
      <c r="F79" s="32">
        <f>IF(A79="",0,F78+C79)</f>
        <v>34232.250000000015</v>
      </c>
      <c r="G79" s="32">
        <f>IF(A79="",0,MAX(G78-D79,0))</f>
        <v>35410.62</v>
      </c>
      <c r="H79" s="32">
        <f>IF(A79="",0,H78+E79)</f>
        <v>19642.87</v>
      </c>
    </row>
    <row r="80" ht="26" customHeight="1" spans="1:8" x14ac:dyDescent="0.25">
      <c r="A80" s="33">
        <f>IF(G79&gt;0,76,"")</f>
        <v>76</v>
      </c>
      <c r="B80" s="34">
        <f>IF(A80="","",DATE(YEAR('Equity &amp; Loan Setup'!B10),MONTH('Equity &amp; Loan Setup'!B10)+75,DAY('Equity &amp; Loan Setup'!B10)))</f>
        <v>48305</v>
      </c>
      <c r="C80" s="35">
        <f>IF(A80="",0,IF(G79&lt;=0,0,MIN('Equity &amp; Loan Setup'!B20,G79*(1+'Equity &amp; Loan Setup'!B8/12))))</f>
        <v>456.43</v>
      </c>
      <c r="D80" s="35">
        <f>IF(A80="",0,IF(G79&lt;=0,0,MIN(C80-E80,G79)))</f>
        <v>242.49</v>
      </c>
      <c r="E80" s="35">
        <f>IF(A80="",0,IF(G79&lt;=0,0,ROUND(G79*('Equity &amp; Loan Setup'!B8/12),2)))</f>
        <v>213.94</v>
      </c>
      <c r="F80" s="35">
        <f>IF(A80="",0,F79+C80)</f>
        <v>34688.680000000015</v>
      </c>
      <c r="G80" s="35">
        <f>IF(A80="",0,MAX(G79-D80,0))</f>
        <v>35168.13</v>
      </c>
      <c r="H80" s="35">
        <f>IF(A80="",0,H79+E80)</f>
        <v>19856.809999999998</v>
      </c>
    </row>
    <row r="81" ht="26" customHeight="1" spans="1:8" x14ac:dyDescent="0.25">
      <c r="A81" s="30">
        <f>IF(G80&gt;0,77,"")</f>
        <v>77</v>
      </c>
      <c r="B81" s="31">
        <f>IF(A81="","",DATE(YEAR('Equity &amp; Loan Setup'!B10),MONTH('Equity &amp; Loan Setup'!B10)+76,DAY('Equity &amp; Loan Setup'!B10)))</f>
        <v>48335</v>
      </c>
      <c r="C81" s="32">
        <f>IF(A81="",0,IF(G80&lt;=0,0,MIN('Equity &amp; Loan Setup'!B20,G80*(1+'Equity &amp; Loan Setup'!B8/12))))</f>
        <v>456.43</v>
      </c>
      <c r="D81" s="32">
        <f>IF(A81="",0,IF(G80&lt;=0,0,MIN(C81-E81,G80)))</f>
        <v>243.96</v>
      </c>
      <c r="E81" s="32">
        <f>IF(A81="",0,IF(G80&lt;=0,0,ROUND(G80*('Equity &amp; Loan Setup'!B8/12),2)))</f>
        <v>212.47</v>
      </c>
      <c r="F81" s="32">
        <f>IF(A81="",0,F80+C81)</f>
        <v>35145.110000000015</v>
      </c>
      <c r="G81" s="32">
        <f>IF(A81="",0,MAX(G80-D81,0))</f>
        <v>34924.17</v>
      </c>
      <c r="H81" s="32">
        <f>IF(A81="",0,H80+E81)</f>
        <v>20069.28</v>
      </c>
    </row>
    <row r="82" ht="26" customHeight="1" spans="1:8" x14ac:dyDescent="0.25">
      <c r="A82" s="33">
        <f>IF(G81&gt;0,78,"")</f>
        <v>78</v>
      </c>
      <c r="B82" s="34">
        <f>IF(A82="","",DATE(YEAR('Equity &amp; Loan Setup'!B10),MONTH('Equity &amp; Loan Setup'!B10)+77,DAY('Equity &amp; Loan Setup'!B10)))</f>
        <v>48366</v>
      </c>
      <c r="C82" s="35">
        <f>IF(A82="",0,IF(G81&lt;=0,0,MIN('Equity &amp; Loan Setup'!B20,G81*(1+'Equity &amp; Loan Setup'!B8/12))))</f>
        <v>456.43</v>
      </c>
      <c r="D82" s="35">
        <f>IF(A82="",0,IF(G81&lt;=0,0,MIN(C82-E82,G81)))</f>
        <v>245.43</v>
      </c>
      <c r="E82" s="35">
        <f>IF(A82="",0,IF(G81&lt;=0,0,ROUND(G81*('Equity &amp; Loan Setup'!B8/12),2)))</f>
        <v>211</v>
      </c>
      <c r="F82" s="35">
        <f>IF(A82="",0,F81+C82)</f>
        <v>35601.540000000015</v>
      </c>
      <c r="G82" s="35">
        <f>IF(A82="",0,MAX(G81-D82,0))</f>
        <v>34678.74</v>
      </c>
      <c r="H82" s="35">
        <f>IF(A82="",0,H81+E82)</f>
        <v>20280.28</v>
      </c>
    </row>
    <row r="83" ht="26" customHeight="1" spans="1:8" x14ac:dyDescent="0.25">
      <c r="A83" s="30">
        <f>IF(G82&gt;0,79,"")</f>
        <v>79</v>
      </c>
      <c r="B83" s="31">
        <f>IF(A83="","",DATE(YEAR('Equity &amp; Loan Setup'!B10),MONTH('Equity &amp; Loan Setup'!B10)+78,DAY('Equity &amp; Loan Setup'!B10)))</f>
        <v>48396</v>
      </c>
      <c r="C83" s="32">
        <f>IF(A83="",0,IF(G82&lt;=0,0,MIN('Equity &amp; Loan Setup'!B20,G82*(1+'Equity &amp; Loan Setup'!B8/12))))</f>
        <v>456.43</v>
      </c>
      <c r="D83" s="32">
        <f>IF(A83="",0,IF(G82&lt;=0,0,MIN(C83-E83,G82)))</f>
        <v>246.91</v>
      </c>
      <c r="E83" s="32">
        <f>IF(A83="",0,IF(G82&lt;=0,0,ROUND(G82*('Equity &amp; Loan Setup'!B8/12),2)))</f>
        <v>209.52</v>
      </c>
      <c r="F83" s="32">
        <f>IF(A83="",0,F82+C83)</f>
        <v>36057.970000000016</v>
      </c>
      <c r="G83" s="32">
        <f>IF(A83="",0,MAX(G82-D83,0))</f>
        <v>34431.83</v>
      </c>
      <c r="H83" s="32">
        <f>IF(A83="",0,H82+E83)</f>
        <v>20489.8</v>
      </c>
    </row>
    <row r="84" ht="26" customHeight="1" spans="1:8" x14ac:dyDescent="0.25">
      <c r="A84" s="33">
        <f>IF(G83&gt;0,80,"")</f>
        <v>80</v>
      </c>
      <c r="B84" s="34">
        <f>IF(A84="","",DATE(YEAR('Equity &amp; Loan Setup'!B10),MONTH('Equity &amp; Loan Setup'!B10)+79,DAY('Equity &amp; Loan Setup'!B10)))</f>
        <v>48427</v>
      </c>
      <c r="C84" s="35">
        <f>IF(A84="",0,IF(G83&lt;=0,0,MIN('Equity &amp; Loan Setup'!B20,G83*(1+'Equity &amp; Loan Setup'!B8/12))))</f>
        <v>456.43</v>
      </c>
      <c r="D84" s="35">
        <f>IF(A84="",0,IF(G83&lt;=0,0,MIN(C84-E84,G83)))</f>
        <v>248.4</v>
      </c>
      <c r="E84" s="35">
        <f>IF(A84="",0,IF(G83&lt;=0,0,ROUND(G83*('Equity &amp; Loan Setup'!B8/12),2)))</f>
        <v>208.03</v>
      </c>
      <c r="F84" s="35">
        <f>IF(A84="",0,F83+C84)</f>
        <v>36514.400000000016</v>
      </c>
      <c r="G84" s="35">
        <f>IF(A84="",0,MAX(G83-D84,0))</f>
        <v>34183.43</v>
      </c>
      <c r="H84" s="35">
        <f>IF(A84="",0,H83+E84)</f>
        <v>20697.829999999998</v>
      </c>
    </row>
    <row r="85" ht="26" customHeight="1" spans="1:8" x14ac:dyDescent="0.25">
      <c r="A85" s="30">
        <f>IF(G84&gt;0,81,"")</f>
        <v>81</v>
      </c>
      <c r="B85" s="31">
        <f>IF(A85="","",DATE(YEAR('Equity &amp; Loan Setup'!B10),MONTH('Equity &amp; Loan Setup'!B10)+80,DAY('Equity &amp; Loan Setup'!B10)))</f>
        <v>48458</v>
      </c>
      <c r="C85" s="32">
        <f>IF(A85="",0,IF(G84&lt;=0,0,MIN('Equity &amp; Loan Setup'!B20,G84*(1+'Equity &amp; Loan Setup'!B8/12))))</f>
        <v>456.43</v>
      </c>
      <c r="D85" s="32">
        <f>IF(A85="",0,IF(G84&lt;=0,0,MIN(C85-E85,G84)))</f>
        <v>249.91</v>
      </c>
      <c r="E85" s="32">
        <f>IF(A85="",0,IF(G84&lt;=0,0,ROUND(G84*('Equity &amp; Loan Setup'!B8/12),2)))</f>
        <v>206.52</v>
      </c>
      <c r="F85" s="32">
        <f>IF(A85="",0,F84+C85)</f>
        <v>36970.830000000016</v>
      </c>
      <c r="G85" s="32">
        <f>IF(A85="",0,MAX(G84-D85,0))</f>
        <v>33933.52</v>
      </c>
      <c r="H85" s="32">
        <f>IF(A85="",0,H84+E85)</f>
        <v>20904.35</v>
      </c>
    </row>
    <row r="86" ht="26" customHeight="1" spans="1:8" x14ac:dyDescent="0.25">
      <c r="A86" s="33">
        <f>IF(G85&gt;0,82,"")</f>
        <v>82</v>
      </c>
      <c r="B86" s="34">
        <f>IF(A86="","",DATE(YEAR('Equity &amp; Loan Setup'!B10),MONTH('Equity &amp; Loan Setup'!B10)+81,DAY('Equity &amp; Loan Setup'!B10)))</f>
        <v>48488</v>
      </c>
      <c r="C86" s="35">
        <f>IF(A86="",0,IF(G85&lt;=0,0,MIN('Equity &amp; Loan Setup'!B20,G85*(1+'Equity &amp; Loan Setup'!B8/12))))</f>
        <v>456.43</v>
      </c>
      <c r="D86" s="35">
        <f>IF(A86="",0,IF(G85&lt;=0,0,MIN(C86-E86,G85)))</f>
        <v>251.41</v>
      </c>
      <c r="E86" s="35">
        <f>IF(A86="",0,IF(G85&lt;=0,0,ROUND(G85*('Equity &amp; Loan Setup'!B8/12),2)))</f>
        <v>205.02</v>
      </c>
      <c r="F86" s="35">
        <f>IF(A86="",0,F85+C86)</f>
        <v>37427.26000000002</v>
      </c>
      <c r="G86" s="35">
        <f>IF(A86="",0,MAX(G85-D86,0))</f>
        <v>33682.11</v>
      </c>
      <c r="H86" s="35">
        <f>IF(A86="",0,H85+E86)</f>
        <v>21109.37</v>
      </c>
    </row>
    <row r="87" ht="26" customHeight="1" spans="1:8" x14ac:dyDescent="0.25">
      <c r="A87" s="30">
        <f>IF(G86&gt;0,83,"")</f>
        <v>83</v>
      </c>
      <c r="B87" s="31">
        <f>IF(A87="","",DATE(YEAR('Equity &amp; Loan Setup'!B10),MONTH('Equity &amp; Loan Setup'!B10)+82,DAY('Equity &amp; Loan Setup'!B10)))</f>
        <v>48519</v>
      </c>
      <c r="C87" s="32">
        <f>IF(A87="",0,IF(G86&lt;=0,0,MIN('Equity &amp; Loan Setup'!B20,G86*(1+'Equity &amp; Loan Setup'!B8/12))))</f>
        <v>456.43</v>
      </c>
      <c r="D87" s="32">
        <f>IF(A87="",0,IF(G86&lt;=0,0,MIN(C87-E87,G86)))</f>
        <v>252.93</v>
      </c>
      <c r="E87" s="32">
        <f>IF(A87="",0,IF(G86&lt;=0,0,ROUND(G86*('Equity &amp; Loan Setup'!B8/12),2)))</f>
        <v>203.5</v>
      </c>
      <c r="F87" s="32">
        <f>IF(A87="",0,F86+C87)</f>
        <v>37883.69000000002</v>
      </c>
      <c r="G87" s="32">
        <f>IF(A87="",0,MAX(G86-D87,0))</f>
        <v>33429.18</v>
      </c>
      <c r="H87" s="32">
        <f>IF(A87="",0,H86+E87)</f>
        <v>21312.87</v>
      </c>
    </row>
    <row r="88" ht="26" customHeight="1" spans="1:8" x14ac:dyDescent="0.25">
      <c r="A88" s="33">
        <f>IF(G87&gt;0,84,"")</f>
        <v>84</v>
      </c>
      <c r="B88" s="34">
        <f>IF(A88="","",DATE(YEAR('Equity &amp; Loan Setup'!B10),MONTH('Equity &amp; Loan Setup'!B10)+83,DAY('Equity &amp; Loan Setup'!B10)))</f>
        <v>48549</v>
      </c>
      <c r="C88" s="35">
        <f>IF(A88="",0,IF(G87&lt;=0,0,MIN('Equity &amp; Loan Setup'!B20,G87*(1+'Equity &amp; Loan Setup'!B8/12))))</f>
        <v>456.43</v>
      </c>
      <c r="D88" s="35">
        <f>IF(A88="",0,IF(G87&lt;=0,0,MIN(C88-E88,G87)))</f>
        <v>254.46</v>
      </c>
      <c r="E88" s="35">
        <f>IF(A88="",0,IF(G87&lt;=0,0,ROUND(G87*('Equity &amp; Loan Setup'!B8/12),2)))</f>
        <v>201.97</v>
      </c>
      <c r="F88" s="35">
        <f>IF(A88="",0,F87+C88)</f>
        <v>38340.12000000002</v>
      </c>
      <c r="G88" s="35">
        <f>IF(A88="",0,MAX(G87-D88,0))</f>
        <v>33174.72</v>
      </c>
      <c r="H88" s="35">
        <f>IF(A88="",0,H87+E88)</f>
        <v>21514.84</v>
      </c>
    </row>
    <row r="89" ht="26" customHeight="1" spans="1:8" x14ac:dyDescent="0.25">
      <c r="A89" s="30">
        <f>IF(G88&gt;0,85,"")</f>
        <v>85</v>
      </c>
      <c r="B89" s="31">
        <f>IF(A89="","",DATE(YEAR('Equity &amp; Loan Setup'!B10),MONTH('Equity &amp; Loan Setup'!B10)+84,DAY('Equity &amp; Loan Setup'!B10)))</f>
        <v>48580</v>
      </c>
      <c r="C89" s="32">
        <f>IF(A89="",0,IF(G88&lt;=0,0,MIN('Equity &amp; Loan Setup'!B20,G88*(1+'Equity &amp; Loan Setup'!B8/12))))</f>
        <v>456.43</v>
      </c>
      <c r="D89" s="32">
        <f>IF(A89="",0,IF(G88&lt;=0,0,MIN(C89-E89,G88)))</f>
        <v>256</v>
      </c>
      <c r="E89" s="32">
        <f>IF(A89="",0,IF(G88&lt;=0,0,ROUND(G88*('Equity &amp; Loan Setup'!B8/12),2)))</f>
        <v>200.43</v>
      </c>
      <c r="F89" s="32">
        <f>IF(A89="",0,F88+C89)</f>
        <v>38796.55000000002</v>
      </c>
      <c r="G89" s="32">
        <f>IF(A89="",0,MAX(G88-D89,0))</f>
        <v>32918.72</v>
      </c>
      <c r="H89" s="32">
        <f>IF(A89="",0,H88+E89)</f>
        <v>21715.27</v>
      </c>
    </row>
    <row r="90" ht="26" customHeight="1" spans="1:8" x14ac:dyDescent="0.25">
      <c r="A90" s="33">
        <f>IF(G89&gt;0,86,"")</f>
        <v>86</v>
      </c>
      <c r="B90" s="34">
        <f>IF(A90="","",DATE(YEAR('Equity &amp; Loan Setup'!B10),MONTH('Equity &amp; Loan Setup'!B10)+85,DAY('Equity &amp; Loan Setup'!B10)))</f>
        <v>48611</v>
      </c>
      <c r="C90" s="35">
        <f>IF(A90="",0,IF(G89&lt;=0,0,MIN('Equity &amp; Loan Setup'!B20,G89*(1+'Equity &amp; Loan Setup'!B8/12))))</f>
        <v>456.43</v>
      </c>
      <c r="D90" s="35">
        <f>IF(A90="",0,IF(G89&lt;=0,0,MIN(C90-E90,G89)))</f>
        <v>257.55</v>
      </c>
      <c r="E90" s="35">
        <f>IF(A90="",0,IF(G89&lt;=0,0,ROUND(G89*('Equity &amp; Loan Setup'!B8/12),2)))</f>
        <v>198.88</v>
      </c>
      <c r="F90" s="35">
        <f>IF(A90="",0,F89+C90)</f>
        <v>39252.98000000002</v>
      </c>
      <c r="G90" s="35">
        <f>IF(A90="",0,MAX(G89-D90,0))</f>
        <v>32661.17</v>
      </c>
      <c r="H90" s="35">
        <f>IF(A90="",0,H89+E90)</f>
        <v>21914.15</v>
      </c>
    </row>
    <row r="91" ht="26" customHeight="1" spans="1:8" x14ac:dyDescent="0.25">
      <c r="A91" s="30">
        <f>IF(G90&gt;0,87,"")</f>
        <v>87</v>
      </c>
      <c r="B91" s="31">
        <f>IF(A91="","",DATE(YEAR('Equity &amp; Loan Setup'!B10),MONTH('Equity &amp; Loan Setup'!B10)+86,DAY('Equity &amp; Loan Setup'!B10)))</f>
        <v>48639</v>
      </c>
      <c r="C91" s="32">
        <f>IF(A91="",0,IF(G90&lt;=0,0,MIN('Equity &amp; Loan Setup'!B20,G90*(1+'Equity &amp; Loan Setup'!B8/12))))</f>
        <v>456.43</v>
      </c>
      <c r="D91" s="32">
        <f>IF(A91="",0,IF(G90&lt;=0,0,MIN(C91-E91,G90)))</f>
        <v>259.1</v>
      </c>
      <c r="E91" s="32">
        <f>IF(A91="",0,IF(G90&lt;=0,0,ROUND(G90*('Equity &amp; Loan Setup'!B8/12),2)))</f>
        <v>197.33</v>
      </c>
      <c r="F91" s="32">
        <f>IF(A91="",0,F90+C91)</f>
        <v>39709.41000000002</v>
      </c>
      <c r="G91" s="32">
        <f>IF(A91="",0,MAX(G90-D91,0))</f>
        <v>32402.07</v>
      </c>
      <c r="H91" s="32">
        <f>IF(A91="",0,H90+E91)</f>
        <v>22111.480000000003</v>
      </c>
    </row>
    <row r="92" ht="26" customHeight="1" spans="1:8" x14ac:dyDescent="0.25">
      <c r="A92" s="33">
        <f>IF(G91&gt;0,88,"")</f>
        <v>88</v>
      </c>
      <c r="B92" s="34">
        <f>IF(A92="","",DATE(YEAR('Equity &amp; Loan Setup'!B10),MONTH('Equity &amp; Loan Setup'!B10)+87,DAY('Equity &amp; Loan Setup'!B10)))</f>
        <v>48670</v>
      </c>
      <c r="C92" s="35">
        <f>IF(A92="",0,IF(G91&lt;=0,0,MIN('Equity &amp; Loan Setup'!B20,G91*(1+'Equity &amp; Loan Setup'!B8/12))))</f>
        <v>456.43</v>
      </c>
      <c r="D92" s="35">
        <f>IF(A92="",0,IF(G91&lt;=0,0,MIN(C92-E92,G91)))</f>
        <v>260.67</v>
      </c>
      <c r="E92" s="35">
        <f>IF(A92="",0,IF(G91&lt;=0,0,ROUND(G91*('Equity &amp; Loan Setup'!B8/12),2)))</f>
        <v>195.76</v>
      </c>
      <c r="F92" s="35">
        <f>IF(A92="",0,F91+C92)</f>
        <v>40165.84000000002</v>
      </c>
      <c r="G92" s="35">
        <f>IF(A92="",0,MAX(G91-D92,0))</f>
        <v>32141.4</v>
      </c>
      <c r="H92" s="35">
        <f>IF(A92="",0,H91+E92)</f>
        <v>22307.24</v>
      </c>
    </row>
    <row r="93" ht="26" customHeight="1" spans="1:8" x14ac:dyDescent="0.25">
      <c r="A93" s="30">
        <f>IF(G92&gt;0,89,"")</f>
        <v>89</v>
      </c>
      <c r="B93" s="31">
        <f>IF(A93="","",DATE(YEAR('Equity &amp; Loan Setup'!B10),MONTH('Equity &amp; Loan Setup'!B10)+88,DAY('Equity &amp; Loan Setup'!B10)))</f>
        <v>48700</v>
      </c>
      <c r="C93" s="32">
        <f>IF(A93="",0,IF(G92&lt;=0,0,MIN('Equity &amp; Loan Setup'!B20,G92*(1+'Equity &amp; Loan Setup'!B8/12))))</f>
        <v>456.43</v>
      </c>
      <c r="D93" s="32">
        <f>IF(A93="",0,IF(G92&lt;=0,0,MIN(C93-E93,G92)))</f>
        <v>262.24</v>
      </c>
      <c r="E93" s="32">
        <f>IF(A93="",0,IF(G92&lt;=0,0,ROUND(G92*('Equity &amp; Loan Setup'!B8/12),2)))</f>
        <v>194.19</v>
      </c>
      <c r="F93" s="32">
        <f>IF(A93="",0,F92+C93)</f>
        <v>40622.27000000002</v>
      </c>
      <c r="G93" s="32">
        <f>IF(A93="",0,MAX(G92-D93,0))</f>
        <v>31879.16</v>
      </c>
      <c r="H93" s="32">
        <f>IF(A93="",0,H92+E93)</f>
        <v>22501.43</v>
      </c>
    </row>
    <row r="94" ht="26" customHeight="1" spans="1:8" x14ac:dyDescent="0.25">
      <c r="A94" s="33">
        <f>IF(G93&gt;0,90,"")</f>
        <v>90</v>
      </c>
      <c r="B94" s="34">
        <f>IF(A94="","",DATE(YEAR('Equity &amp; Loan Setup'!B10),MONTH('Equity &amp; Loan Setup'!B10)+89,DAY('Equity &amp; Loan Setup'!B10)))</f>
        <v>48731</v>
      </c>
      <c r="C94" s="35">
        <f>IF(A94="",0,IF(G93&lt;=0,0,MIN('Equity &amp; Loan Setup'!B20,G93*(1+'Equity &amp; Loan Setup'!B8/12))))</f>
        <v>456.43</v>
      </c>
      <c r="D94" s="35">
        <f>IF(A94="",0,IF(G93&lt;=0,0,MIN(C94-E94,G93)))</f>
        <v>263.83</v>
      </c>
      <c r="E94" s="35">
        <f>IF(A94="",0,IF(G93&lt;=0,0,ROUND(G93*('Equity &amp; Loan Setup'!B8/12),2)))</f>
        <v>192.6</v>
      </c>
      <c r="F94" s="35">
        <f>IF(A94="",0,F93+C94)</f>
        <v>41078.70000000002</v>
      </c>
      <c r="G94" s="35">
        <f>IF(A94="",0,MAX(G93-D94,0))</f>
        <v>31615.33</v>
      </c>
      <c r="H94" s="35">
        <f>IF(A94="",0,H93+E94)</f>
        <v>22694.03</v>
      </c>
    </row>
    <row r="95" ht="26" customHeight="1" spans="1:8" x14ac:dyDescent="0.25">
      <c r="A95" s="30">
        <f>IF(G94&gt;0,91,"")</f>
        <v>91</v>
      </c>
      <c r="B95" s="31">
        <f>IF(A95="","",DATE(YEAR('Equity &amp; Loan Setup'!B10),MONTH('Equity &amp; Loan Setup'!B10)+90,DAY('Equity &amp; Loan Setup'!B10)))</f>
        <v>48761</v>
      </c>
      <c r="C95" s="32">
        <f>IF(A95="",0,IF(G94&lt;=0,0,MIN('Equity &amp; Loan Setup'!B20,G94*(1+'Equity &amp; Loan Setup'!B8/12))))</f>
        <v>456.43</v>
      </c>
      <c r="D95" s="32">
        <f>IF(A95="",0,IF(G94&lt;=0,0,MIN(C95-E95,G94)))</f>
        <v>265.42</v>
      </c>
      <c r="E95" s="32">
        <f>IF(A95="",0,IF(G94&lt;=0,0,ROUND(G94*('Equity &amp; Loan Setup'!B8/12),2)))</f>
        <v>191.01</v>
      </c>
      <c r="F95" s="32">
        <f>IF(A95="",0,F94+C95)</f>
        <v>41535.13000000002</v>
      </c>
      <c r="G95" s="32">
        <f>IF(A95="",0,MAX(G94-D95,0))</f>
        <v>31349.91</v>
      </c>
      <c r="H95" s="32">
        <f>IF(A95="",0,H94+E95)</f>
        <v>22885.039999999997</v>
      </c>
    </row>
    <row r="96" ht="26" customHeight="1" spans="1:8" x14ac:dyDescent="0.25">
      <c r="A96" s="33">
        <f>IF(G95&gt;0,92,"")</f>
        <v>92</v>
      </c>
      <c r="B96" s="34">
        <f>IF(A96="","",DATE(YEAR('Equity &amp; Loan Setup'!B10),MONTH('Equity &amp; Loan Setup'!B10)+91,DAY('Equity &amp; Loan Setup'!B10)))</f>
        <v>48792</v>
      </c>
      <c r="C96" s="35">
        <f>IF(A96="",0,IF(G95&lt;=0,0,MIN('Equity &amp; Loan Setup'!B20,G95*(1+'Equity &amp; Loan Setup'!B8/12))))</f>
        <v>456.43</v>
      </c>
      <c r="D96" s="35">
        <f>IF(A96="",0,IF(G95&lt;=0,0,MIN(C96-E96,G95)))</f>
        <v>267.02</v>
      </c>
      <c r="E96" s="35">
        <f>IF(A96="",0,IF(G95&lt;=0,0,ROUND(G95*('Equity &amp; Loan Setup'!B8/12),2)))</f>
        <v>189.41</v>
      </c>
      <c r="F96" s="35">
        <f>IF(A96="",0,F95+C96)</f>
        <v>41991.56000000002</v>
      </c>
      <c r="G96" s="35">
        <f>IF(A96="",0,MAX(G95-D96,0))</f>
        <v>31082.89</v>
      </c>
      <c r="H96" s="35">
        <f>IF(A96="",0,H95+E96)</f>
        <v>23074.449999999997</v>
      </c>
    </row>
    <row r="97" ht="26" customHeight="1" spans="1:8" x14ac:dyDescent="0.25">
      <c r="A97" s="30">
        <f>IF(G96&gt;0,93,"")</f>
        <v>93</v>
      </c>
      <c r="B97" s="31">
        <f>IF(A97="","",DATE(YEAR('Equity &amp; Loan Setup'!B10),MONTH('Equity &amp; Loan Setup'!B10)+92,DAY('Equity &amp; Loan Setup'!B10)))</f>
        <v>48823</v>
      </c>
      <c r="C97" s="32">
        <f>IF(A97="",0,IF(G96&lt;=0,0,MIN('Equity &amp; Loan Setup'!B20,G96*(1+'Equity &amp; Loan Setup'!B8/12))))</f>
        <v>456.43</v>
      </c>
      <c r="D97" s="32">
        <f>IF(A97="",0,IF(G96&lt;=0,0,MIN(C97-E97,G96)))</f>
        <v>268.64</v>
      </c>
      <c r="E97" s="32">
        <f>IF(A97="",0,IF(G96&lt;=0,0,ROUND(G96*('Equity &amp; Loan Setup'!B8/12),2)))</f>
        <v>187.79</v>
      </c>
      <c r="F97" s="32">
        <f>IF(A97="",0,F96+C97)</f>
        <v>42447.99000000002</v>
      </c>
      <c r="G97" s="32">
        <f>IF(A97="",0,MAX(G96-D97,0))</f>
        <v>30814.25</v>
      </c>
      <c r="H97" s="32">
        <f>IF(A97="",0,H96+E97)</f>
        <v>23262.239999999998</v>
      </c>
    </row>
    <row r="98" ht="26" customHeight="1" spans="1:8" x14ac:dyDescent="0.25">
      <c r="A98" s="33">
        <f>IF(G97&gt;0,94,"")</f>
        <v>94</v>
      </c>
      <c r="B98" s="34">
        <f>IF(A98="","",DATE(YEAR('Equity &amp; Loan Setup'!B10),MONTH('Equity &amp; Loan Setup'!B10)+93,DAY('Equity &amp; Loan Setup'!B10)))</f>
        <v>48853</v>
      </c>
      <c r="C98" s="35">
        <f>IF(A98="",0,IF(G97&lt;=0,0,MIN('Equity &amp; Loan Setup'!B20,G97*(1+'Equity &amp; Loan Setup'!B8/12))))</f>
        <v>456.43</v>
      </c>
      <c r="D98" s="35">
        <f>IF(A98="",0,IF(G97&lt;=0,0,MIN(C98-E98,G97)))</f>
        <v>270.26</v>
      </c>
      <c r="E98" s="35">
        <f>IF(A98="",0,IF(G97&lt;=0,0,ROUND(G97*('Equity &amp; Loan Setup'!B8/12),2)))</f>
        <v>186.17</v>
      </c>
      <c r="F98" s="35">
        <f>IF(A98="",0,F97+C98)</f>
        <v>42904.42000000002</v>
      </c>
      <c r="G98" s="35">
        <f>IF(A98="",0,MAX(G97-D98,0))</f>
        <v>30543.99</v>
      </c>
      <c r="H98" s="35">
        <f>IF(A98="",0,H97+E98)</f>
        <v>23448.409999999996</v>
      </c>
    </row>
    <row r="99" ht="26" customHeight="1" spans="1:8" x14ac:dyDescent="0.25">
      <c r="A99" s="30">
        <f>IF(G98&gt;0,95,"")</f>
        <v>95</v>
      </c>
      <c r="B99" s="31">
        <f>IF(A99="","",DATE(YEAR('Equity &amp; Loan Setup'!B10),MONTH('Equity &amp; Loan Setup'!B10)+94,DAY('Equity &amp; Loan Setup'!B10)))</f>
        <v>48884</v>
      </c>
      <c r="C99" s="32">
        <f>IF(A99="",0,IF(G98&lt;=0,0,MIN('Equity &amp; Loan Setup'!B20,G98*(1+'Equity &amp; Loan Setup'!B8/12))))</f>
        <v>456.43</v>
      </c>
      <c r="D99" s="32">
        <f>IF(A99="",0,IF(G98&lt;=0,0,MIN(C99-E99,G98)))</f>
        <v>271.89</v>
      </c>
      <c r="E99" s="32">
        <f>IF(A99="",0,IF(G98&lt;=0,0,ROUND(G98*('Equity &amp; Loan Setup'!B8/12),2)))</f>
        <v>184.54</v>
      </c>
      <c r="F99" s="32">
        <f>IF(A99="",0,F98+C99)</f>
        <v>43360.85000000002</v>
      </c>
      <c r="G99" s="32">
        <f>IF(A99="",0,MAX(G98-D99,0))</f>
        <v>30272.1</v>
      </c>
      <c r="H99" s="32">
        <f>IF(A99="",0,H98+E99)</f>
        <v>23632.949999999997</v>
      </c>
    </row>
    <row r="100" ht="26" customHeight="1" spans="1:8" x14ac:dyDescent="0.25">
      <c r="A100" s="33">
        <f>IF(G99&gt;0,96,"")</f>
        <v>96</v>
      </c>
      <c r="B100" s="34">
        <f>IF(A100="","",DATE(YEAR('Equity &amp; Loan Setup'!B10),MONTH('Equity &amp; Loan Setup'!B10)+95,DAY('Equity &amp; Loan Setup'!B10)))</f>
        <v>48914</v>
      </c>
      <c r="C100" s="35">
        <f>IF(A100="",0,IF(G99&lt;=0,0,MIN('Equity &amp; Loan Setup'!B20,G99*(1+'Equity &amp; Loan Setup'!B8/12))))</f>
        <v>456.43</v>
      </c>
      <c r="D100" s="35">
        <f>IF(A100="",0,IF(G99&lt;=0,0,MIN(C100-E100,G99)))</f>
        <v>273.54</v>
      </c>
      <c r="E100" s="35">
        <f>IF(A100="",0,IF(G99&lt;=0,0,ROUND(G99*('Equity &amp; Loan Setup'!B8/12),2)))</f>
        <v>182.89</v>
      </c>
      <c r="F100" s="35">
        <f>IF(A100="",0,F99+C100)</f>
        <v>43817.28000000002</v>
      </c>
      <c r="G100" s="35">
        <f>IF(A100="",0,MAX(G99-D100,0))</f>
        <v>29998.56</v>
      </c>
      <c r="H100" s="35">
        <f>IF(A100="",0,H99+E100)</f>
        <v>23815.839999999997</v>
      </c>
    </row>
    <row r="101" ht="26" customHeight="1" spans="1:8" x14ac:dyDescent="0.25">
      <c r="A101" s="30">
        <f>IF(G100&gt;0,97,"")</f>
        <v>97</v>
      </c>
      <c r="B101" s="31">
        <f>IF(A101="","",DATE(YEAR('Equity &amp; Loan Setup'!B10),MONTH('Equity &amp; Loan Setup'!B10)+96,DAY('Equity &amp; Loan Setup'!B10)))</f>
        <v>48945</v>
      </c>
      <c r="C101" s="32">
        <f>IF(A101="",0,IF(G100&lt;=0,0,MIN('Equity &amp; Loan Setup'!B20,G100*(1+'Equity &amp; Loan Setup'!B8/12))))</f>
        <v>456.43</v>
      </c>
      <c r="D101" s="32">
        <f>IF(A101="",0,IF(G100&lt;=0,0,MIN(C101-E101,G100)))</f>
        <v>275.19</v>
      </c>
      <c r="E101" s="32">
        <f>IF(A101="",0,IF(G100&lt;=0,0,ROUND(G100*('Equity &amp; Loan Setup'!B8/12),2)))</f>
        <v>181.24</v>
      </c>
      <c r="F101" s="32">
        <f>IF(A101="",0,F100+C101)</f>
        <v>44273.71000000002</v>
      </c>
      <c r="G101" s="32">
        <f>IF(A101="",0,MAX(G100-D101,0))</f>
        <v>29723.37</v>
      </c>
      <c r="H101" s="32">
        <f>IF(A101="",0,H100+E101)</f>
        <v>23997.079999999998</v>
      </c>
    </row>
    <row r="102" ht="26" customHeight="1" spans="1:8" x14ac:dyDescent="0.25">
      <c r="A102" s="33">
        <f>IF(G101&gt;0,98,"")</f>
        <v>98</v>
      </c>
      <c r="B102" s="34">
        <f>IF(A102="","",DATE(YEAR('Equity &amp; Loan Setup'!B10),MONTH('Equity &amp; Loan Setup'!B10)+97,DAY('Equity &amp; Loan Setup'!B10)))</f>
        <v>48976</v>
      </c>
      <c r="C102" s="35">
        <f>IF(A102="",0,IF(G101&lt;=0,0,MIN('Equity &amp; Loan Setup'!B20,G101*(1+'Equity &amp; Loan Setup'!B8/12))))</f>
        <v>456.43</v>
      </c>
      <c r="D102" s="35">
        <f>IF(A102="",0,IF(G101&lt;=0,0,MIN(C102-E102,G101)))</f>
        <v>276.85</v>
      </c>
      <c r="E102" s="35">
        <f>IF(A102="",0,IF(G101&lt;=0,0,ROUND(G101*('Equity &amp; Loan Setup'!B8/12),2)))</f>
        <v>179.58</v>
      </c>
      <c r="F102" s="35">
        <f>IF(A102="",0,F101+C102)</f>
        <v>44730.14000000002</v>
      </c>
      <c r="G102" s="35">
        <f>IF(A102="",0,MAX(G101-D102,0))</f>
        <v>29446.52</v>
      </c>
      <c r="H102" s="35">
        <f>IF(A102="",0,H101+E102)</f>
        <v>24176.66</v>
      </c>
    </row>
    <row r="103" ht="26" customHeight="1" spans="1:8" x14ac:dyDescent="0.25">
      <c r="A103" s="30">
        <f>IF(G102&gt;0,99,"")</f>
        <v>99</v>
      </c>
      <c r="B103" s="31">
        <f>IF(A103="","",DATE(YEAR('Equity &amp; Loan Setup'!B10),MONTH('Equity &amp; Loan Setup'!B10)+98,DAY('Equity &amp; Loan Setup'!B10)))</f>
        <v>49004</v>
      </c>
      <c r="C103" s="32">
        <f>IF(A103="",0,IF(G102&lt;=0,0,MIN('Equity &amp; Loan Setup'!B20,G102*(1+'Equity &amp; Loan Setup'!B8/12))))</f>
        <v>456.43</v>
      </c>
      <c r="D103" s="32">
        <f>IF(A103="",0,IF(G102&lt;=0,0,MIN(C103-E103,G102)))</f>
        <v>278.52</v>
      </c>
      <c r="E103" s="32">
        <f>IF(A103="",0,IF(G102&lt;=0,0,ROUND(G102*('Equity &amp; Loan Setup'!B8/12),2)))</f>
        <v>177.91</v>
      </c>
      <c r="F103" s="32">
        <f>IF(A103="",0,F102+C103)</f>
        <v>45186.57000000002</v>
      </c>
      <c r="G103" s="32">
        <f>IF(A103="",0,MAX(G102-D103,0))</f>
        <v>29168</v>
      </c>
      <c r="H103" s="32">
        <f>IF(A103="",0,H102+E103)</f>
        <v>24354.57</v>
      </c>
    </row>
    <row r="104" ht="26" customHeight="1" spans="1:8" x14ac:dyDescent="0.25">
      <c r="A104" s="33">
        <f>IF(G103&gt;0,100,"")</f>
        <v>100</v>
      </c>
      <c r="B104" s="34">
        <f>IF(A104="","",DATE(YEAR('Equity &amp; Loan Setup'!B10),MONTH('Equity &amp; Loan Setup'!B10)+99,DAY('Equity &amp; Loan Setup'!B10)))</f>
        <v>49035</v>
      </c>
      <c r="C104" s="35">
        <f>IF(A104="",0,IF(G103&lt;=0,0,MIN('Equity &amp; Loan Setup'!B20,G103*(1+'Equity &amp; Loan Setup'!B8/12))))</f>
        <v>456.43</v>
      </c>
      <c r="D104" s="35">
        <f>IF(A104="",0,IF(G103&lt;=0,0,MIN(C104-E104,G103)))</f>
        <v>280.21</v>
      </c>
      <c r="E104" s="35">
        <f>IF(A104="",0,IF(G103&lt;=0,0,ROUND(G103*('Equity &amp; Loan Setup'!B8/12),2)))</f>
        <v>176.22</v>
      </c>
      <c r="F104" s="35">
        <f>IF(A104="",0,F103+C104)</f>
        <v>45643.00000000002</v>
      </c>
      <c r="G104" s="35">
        <f>IF(A104="",0,MAX(G103-D104,0))</f>
        <v>28887.79</v>
      </c>
      <c r="H104" s="35">
        <f>IF(A104="",0,H103+E104)</f>
        <v>24530.79</v>
      </c>
    </row>
    <row r="105" ht="26" customHeight="1" spans="1:8" x14ac:dyDescent="0.25">
      <c r="A105" s="30">
        <f>IF(G104&gt;0,101,"")</f>
        <v>101</v>
      </c>
      <c r="B105" s="31">
        <f>IF(A105="","",DATE(YEAR('Equity &amp; Loan Setup'!B10),MONTH('Equity &amp; Loan Setup'!B10)+100,DAY('Equity &amp; Loan Setup'!B10)))</f>
        <v>49065</v>
      </c>
      <c r="C105" s="32">
        <f>IF(A105="",0,IF(G104&lt;=0,0,MIN('Equity &amp; Loan Setup'!B20,G104*(1+'Equity &amp; Loan Setup'!B8/12))))</f>
        <v>456.43</v>
      </c>
      <c r="D105" s="32">
        <f>IF(A105="",0,IF(G104&lt;=0,0,MIN(C105-E105,G104)))</f>
        <v>281.9</v>
      </c>
      <c r="E105" s="32">
        <f>IF(A105="",0,IF(G104&lt;=0,0,ROUND(G104*('Equity &amp; Loan Setup'!B8/12),2)))</f>
        <v>174.53</v>
      </c>
      <c r="F105" s="32">
        <f>IF(A105="",0,F104+C105)</f>
        <v>46099.43000000002</v>
      </c>
      <c r="G105" s="32">
        <f>IF(A105="",0,MAX(G104-D105,0))</f>
        <v>28605.89</v>
      </c>
      <c r="H105" s="32">
        <f>IF(A105="",0,H104+E105)</f>
        <v>24705.32</v>
      </c>
    </row>
    <row r="106" ht="26" customHeight="1" spans="1:8" x14ac:dyDescent="0.25">
      <c r="A106" s="33">
        <f>IF(G105&gt;0,102,"")</f>
        <v>102</v>
      </c>
      <c r="B106" s="34">
        <f>IF(A106="","",DATE(YEAR('Equity &amp; Loan Setup'!B10),MONTH('Equity &amp; Loan Setup'!B10)+101,DAY('Equity &amp; Loan Setup'!B10)))</f>
        <v>49096</v>
      </c>
      <c r="C106" s="35">
        <f>IF(A106="",0,IF(G105&lt;=0,0,MIN('Equity &amp; Loan Setup'!B20,G105*(1+'Equity &amp; Loan Setup'!B8/12))))</f>
        <v>456.43</v>
      </c>
      <c r="D106" s="35">
        <f>IF(A106="",0,IF(G105&lt;=0,0,MIN(C106-E106,G105)))</f>
        <v>283.6</v>
      </c>
      <c r="E106" s="35">
        <f>IF(A106="",0,IF(G105&lt;=0,0,ROUND(G105*('Equity &amp; Loan Setup'!B8/12),2)))</f>
        <v>172.83</v>
      </c>
      <c r="F106" s="35">
        <f>IF(A106="",0,F105+C106)</f>
        <v>46555.86000000002</v>
      </c>
      <c r="G106" s="35">
        <f>IF(A106="",0,MAX(G105-D106,0))</f>
        <v>28322.29</v>
      </c>
      <c r="H106" s="35">
        <f>IF(A106="",0,H105+E106)</f>
        <v>24878.15</v>
      </c>
    </row>
    <row r="107" ht="26" customHeight="1" spans="1:8" x14ac:dyDescent="0.25">
      <c r="A107" s="30">
        <f>IF(G106&gt;0,103,"")</f>
        <v>103</v>
      </c>
      <c r="B107" s="31">
        <f>IF(A107="","",DATE(YEAR('Equity &amp; Loan Setup'!B10),MONTH('Equity &amp; Loan Setup'!B10)+102,DAY('Equity &amp; Loan Setup'!B10)))</f>
        <v>49126</v>
      </c>
      <c r="C107" s="32">
        <f>IF(A107="",0,IF(G106&lt;=0,0,MIN('Equity &amp; Loan Setup'!B20,G106*(1+'Equity &amp; Loan Setup'!B8/12))))</f>
        <v>456.43</v>
      </c>
      <c r="D107" s="32">
        <f>IF(A107="",0,IF(G106&lt;=0,0,MIN(C107-E107,G106)))</f>
        <v>285.32</v>
      </c>
      <c r="E107" s="32">
        <f>IF(A107="",0,IF(G106&lt;=0,0,ROUND(G106*('Equity &amp; Loan Setup'!B8/12),2)))</f>
        <v>171.11</v>
      </c>
      <c r="F107" s="32">
        <f>IF(A107="",0,F106+C107)</f>
        <v>47012.29000000002</v>
      </c>
      <c r="G107" s="32">
        <f>IF(A107="",0,MAX(G106-D107,0))</f>
        <v>28036.97</v>
      </c>
      <c r="H107" s="32">
        <f>IF(A107="",0,H106+E107)</f>
        <v>25049.260000000002</v>
      </c>
    </row>
    <row r="108" ht="26" customHeight="1" spans="1:8" x14ac:dyDescent="0.25">
      <c r="A108" s="33">
        <f>IF(G107&gt;0,104,"")</f>
        <v>104</v>
      </c>
      <c r="B108" s="34">
        <f>IF(A108="","",DATE(YEAR('Equity &amp; Loan Setup'!B10),MONTH('Equity &amp; Loan Setup'!B10)+103,DAY('Equity &amp; Loan Setup'!B10)))</f>
        <v>49157</v>
      </c>
      <c r="C108" s="35">
        <f>IF(A108="",0,IF(G107&lt;=0,0,MIN('Equity &amp; Loan Setup'!B20,G107*(1+'Equity &amp; Loan Setup'!B8/12))))</f>
        <v>456.43</v>
      </c>
      <c r="D108" s="35">
        <f>IF(A108="",0,IF(G107&lt;=0,0,MIN(C108-E108,G107)))</f>
        <v>287.04</v>
      </c>
      <c r="E108" s="35">
        <f>IF(A108="",0,IF(G107&lt;=0,0,ROUND(G107*('Equity &amp; Loan Setup'!B8/12),2)))</f>
        <v>169.39</v>
      </c>
      <c r="F108" s="35">
        <f>IF(A108="",0,F107+C108)</f>
        <v>47468.72000000002</v>
      </c>
      <c r="G108" s="35">
        <f>IF(A108="",0,MAX(G107-D108,0))</f>
        <v>27749.93</v>
      </c>
      <c r="H108" s="35">
        <f>IF(A108="",0,H107+E108)</f>
        <v>25218.65</v>
      </c>
    </row>
    <row r="109" ht="26" customHeight="1" spans="1:8" x14ac:dyDescent="0.25">
      <c r="A109" s="30">
        <f>IF(G108&gt;0,105,"")</f>
        <v>105</v>
      </c>
      <c r="B109" s="31">
        <f>IF(A109="","",DATE(YEAR('Equity &amp; Loan Setup'!B10),MONTH('Equity &amp; Loan Setup'!B10)+104,DAY('Equity &amp; Loan Setup'!B10)))</f>
        <v>49188</v>
      </c>
      <c r="C109" s="32">
        <f>IF(A109="",0,IF(G108&lt;=0,0,MIN('Equity &amp; Loan Setup'!B20,G108*(1+'Equity &amp; Loan Setup'!B8/12))))</f>
        <v>456.43</v>
      </c>
      <c r="D109" s="32">
        <f>IF(A109="",0,IF(G108&lt;=0,0,MIN(C109-E109,G108)))</f>
        <v>288.77</v>
      </c>
      <c r="E109" s="32">
        <f>IF(A109="",0,IF(G108&lt;=0,0,ROUND(G108*('Equity &amp; Loan Setup'!B8/12),2)))</f>
        <v>167.66</v>
      </c>
      <c r="F109" s="32">
        <f>IF(A109="",0,F108+C109)</f>
        <v>47925.15000000002</v>
      </c>
      <c r="G109" s="32">
        <f>IF(A109="",0,MAX(G108-D109,0))</f>
        <v>27461.16</v>
      </c>
      <c r="H109" s="32">
        <f>IF(A109="",0,H108+E109)</f>
        <v>25386.31</v>
      </c>
    </row>
    <row r="110" ht="26" customHeight="1" spans="1:8" x14ac:dyDescent="0.25">
      <c r="A110" s="33">
        <f>IF(G109&gt;0,106,"")</f>
        <v>106</v>
      </c>
      <c r="B110" s="34">
        <f>IF(A110="","",DATE(YEAR('Equity &amp; Loan Setup'!B10),MONTH('Equity &amp; Loan Setup'!B10)+105,DAY('Equity &amp; Loan Setup'!B10)))</f>
        <v>49218</v>
      </c>
      <c r="C110" s="35">
        <f>IF(A110="",0,IF(G109&lt;=0,0,MIN('Equity &amp; Loan Setup'!B20,G109*(1+'Equity &amp; Loan Setup'!B8/12))))</f>
        <v>456.43</v>
      </c>
      <c r="D110" s="35">
        <f>IF(A110="",0,IF(G109&lt;=0,0,MIN(C110-E110,G109)))</f>
        <v>290.52</v>
      </c>
      <c r="E110" s="35">
        <f>IF(A110="",0,IF(G109&lt;=0,0,ROUND(G109*('Equity &amp; Loan Setup'!B8/12),2)))</f>
        <v>165.91</v>
      </c>
      <c r="F110" s="35">
        <f>IF(A110="",0,F109+C110)</f>
        <v>48381.58000000002</v>
      </c>
      <c r="G110" s="35">
        <f>IF(A110="",0,MAX(G109-D110,0))</f>
        <v>27170.64</v>
      </c>
      <c r="H110" s="35">
        <f>IF(A110="",0,H109+E110)</f>
        <v>25552.22</v>
      </c>
    </row>
    <row r="111" ht="26" customHeight="1" spans="1:8" x14ac:dyDescent="0.25">
      <c r="A111" s="30">
        <f>IF(G110&gt;0,107,"")</f>
        <v>107</v>
      </c>
      <c r="B111" s="31">
        <f>IF(A111="","",DATE(YEAR('Equity &amp; Loan Setup'!B10),MONTH('Equity &amp; Loan Setup'!B10)+106,DAY('Equity &amp; Loan Setup'!B10)))</f>
        <v>49249</v>
      </c>
      <c r="C111" s="32">
        <f>IF(A111="",0,IF(G110&lt;=0,0,MIN('Equity &amp; Loan Setup'!B20,G110*(1+'Equity &amp; Loan Setup'!B8/12))))</f>
        <v>456.43</v>
      </c>
      <c r="D111" s="32">
        <f>IF(A111="",0,IF(G110&lt;=0,0,MIN(C111-E111,G110)))</f>
        <v>292.27</v>
      </c>
      <c r="E111" s="32">
        <f>IF(A111="",0,IF(G110&lt;=0,0,ROUND(G110*('Equity &amp; Loan Setup'!B8/12),2)))</f>
        <v>164.16</v>
      </c>
      <c r="F111" s="32">
        <f>IF(A111="",0,F110+C111)</f>
        <v>48838.010000000024</v>
      </c>
      <c r="G111" s="32">
        <f>IF(A111="",0,MAX(G110-D111,0))</f>
        <v>26878.37</v>
      </c>
      <c r="H111" s="32">
        <f>IF(A111="",0,H110+E111)</f>
        <v>25716.38</v>
      </c>
    </row>
    <row r="112" ht="26" customHeight="1" spans="1:8" x14ac:dyDescent="0.25">
      <c r="A112" s="33">
        <f>IF(G111&gt;0,108,"")</f>
        <v>108</v>
      </c>
      <c r="B112" s="34">
        <f>IF(A112="","",DATE(YEAR('Equity &amp; Loan Setup'!B10),MONTH('Equity &amp; Loan Setup'!B10)+107,DAY('Equity &amp; Loan Setup'!B10)))</f>
        <v>49279</v>
      </c>
      <c r="C112" s="35">
        <f>IF(A112="",0,IF(G111&lt;=0,0,MIN('Equity &amp; Loan Setup'!B20,G111*(1+'Equity &amp; Loan Setup'!B8/12))))</f>
        <v>456.43</v>
      </c>
      <c r="D112" s="35">
        <f>IF(A112="",0,IF(G111&lt;=0,0,MIN(C112-E112,G111)))</f>
        <v>294.04</v>
      </c>
      <c r="E112" s="35">
        <f>IF(A112="",0,IF(G111&lt;=0,0,ROUND(G111*('Equity &amp; Loan Setup'!B8/12),2)))</f>
        <v>162.39</v>
      </c>
      <c r="F112" s="35">
        <f>IF(A112="",0,F111+C112)</f>
        <v>49294.440000000024</v>
      </c>
      <c r="G112" s="35">
        <f>IF(A112="",0,MAX(G111-D112,0))</f>
        <v>26584.33</v>
      </c>
      <c r="H112" s="35">
        <f>IF(A112="",0,H111+E112)</f>
        <v>25878.77</v>
      </c>
    </row>
    <row r="113" ht="26" customHeight="1" spans="1:8" x14ac:dyDescent="0.25">
      <c r="A113" s="30">
        <f>IF(G112&gt;0,109,"")</f>
        <v>109</v>
      </c>
      <c r="B113" s="31">
        <f>IF(A113="","",DATE(YEAR('Equity &amp; Loan Setup'!B10),MONTH('Equity &amp; Loan Setup'!B10)+108,DAY('Equity &amp; Loan Setup'!B10)))</f>
        <v>49310</v>
      </c>
      <c r="C113" s="32">
        <f>IF(A113="",0,IF(G112&lt;=0,0,MIN('Equity &amp; Loan Setup'!B20,G112*(1+'Equity &amp; Loan Setup'!B8/12))))</f>
        <v>456.43</v>
      </c>
      <c r="D113" s="32">
        <f>IF(A113="",0,IF(G112&lt;=0,0,MIN(C113-E113,G112)))</f>
        <v>295.82</v>
      </c>
      <c r="E113" s="32">
        <f>IF(A113="",0,IF(G112&lt;=0,0,ROUND(G112*('Equity &amp; Loan Setup'!B8/12),2)))</f>
        <v>160.61</v>
      </c>
      <c r="F113" s="32">
        <f>IF(A113="",0,F112+C113)</f>
        <v>49750.870000000024</v>
      </c>
      <c r="G113" s="32">
        <f>IF(A113="",0,MAX(G112-D113,0))</f>
        <v>26288.51</v>
      </c>
      <c r="H113" s="32">
        <f>IF(A113="",0,H112+E113)</f>
        <v>26039.38</v>
      </c>
    </row>
    <row r="114" ht="26" customHeight="1" spans="1:8" x14ac:dyDescent="0.25">
      <c r="A114" s="33">
        <f>IF(G113&gt;0,110,"")</f>
        <v>110</v>
      </c>
      <c r="B114" s="34">
        <f>IF(A114="","",DATE(YEAR('Equity &amp; Loan Setup'!B10),MONTH('Equity &amp; Loan Setup'!B10)+109,DAY('Equity &amp; Loan Setup'!B10)))</f>
        <v>49341</v>
      </c>
      <c r="C114" s="35">
        <f>IF(A114="",0,IF(G113&lt;=0,0,MIN('Equity &amp; Loan Setup'!B20,G113*(1+'Equity &amp; Loan Setup'!B8/12))))</f>
        <v>456.43</v>
      </c>
      <c r="D114" s="35">
        <f>IF(A114="",0,IF(G113&lt;=0,0,MIN(C114-E114,G113)))</f>
        <v>297.6</v>
      </c>
      <c r="E114" s="35">
        <f>IF(A114="",0,IF(G113&lt;=0,0,ROUND(G113*('Equity &amp; Loan Setup'!B8/12),2)))</f>
        <v>158.83</v>
      </c>
      <c r="F114" s="35">
        <f>IF(A114="",0,F113+C114)</f>
        <v>50207.300000000025</v>
      </c>
      <c r="G114" s="35">
        <f>IF(A114="",0,MAX(G113-D114,0))</f>
        <v>25990.91</v>
      </c>
      <c r="H114" s="35">
        <f>IF(A114="",0,H113+E114)</f>
        <v>26198.210000000003</v>
      </c>
    </row>
    <row r="115" ht="26" customHeight="1" spans="1:8" x14ac:dyDescent="0.25">
      <c r="A115" s="30">
        <f>IF(G114&gt;0,111,"")</f>
        <v>111</v>
      </c>
      <c r="B115" s="31">
        <f>IF(A115="","",DATE(YEAR('Equity &amp; Loan Setup'!B10),MONTH('Equity &amp; Loan Setup'!B10)+110,DAY('Equity &amp; Loan Setup'!B10)))</f>
        <v>49369</v>
      </c>
      <c r="C115" s="32">
        <f>IF(A115="",0,IF(G114&lt;=0,0,MIN('Equity &amp; Loan Setup'!B20,G114*(1+'Equity &amp; Loan Setup'!B8/12))))</f>
        <v>456.43</v>
      </c>
      <c r="D115" s="32">
        <f>IF(A115="",0,IF(G114&lt;=0,0,MIN(C115-E115,G114)))</f>
        <v>299.4</v>
      </c>
      <c r="E115" s="32">
        <f>IF(A115="",0,IF(G114&lt;=0,0,ROUND(G114*('Equity &amp; Loan Setup'!B8/12),2)))</f>
        <v>157.03</v>
      </c>
      <c r="F115" s="32">
        <f>IF(A115="",0,F114+C115)</f>
        <v>50663.730000000025</v>
      </c>
      <c r="G115" s="32">
        <f>IF(A115="",0,MAX(G114-D115,0))</f>
        <v>25691.51</v>
      </c>
      <c r="H115" s="32">
        <f>IF(A115="",0,H114+E115)</f>
        <v>26355.24</v>
      </c>
    </row>
    <row r="116" ht="26" customHeight="1" spans="1:8" x14ac:dyDescent="0.25">
      <c r="A116" s="33">
        <f>IF(G115&gt;0,112,"")</f>
        <v>112</v>
      </c>
      <c r="B116" s="34">
        <f>IF(A116="","",DATE(YEAR('Equity &amp; Loan Setup'!B10),MONTH('Equity &amp; Loan Setup'!B10)+111,DAY('Equity &amp; Loan Setup'!B10)))</f>
        <v>49400</v>
      </c>
      <c r="C116" s="35">
        <f>IF(A116="",0,IF(G115&lt;=0,0,MIN('Equity &amp; Loan Setup'!B20,G115*(1+'Equity &amp; Loan Setup'!B8/12))))</f>
        <v>456.43</v>
      </c>
      <c r="D116" s="35">
        <f>IF(A116="",0,IF(G115&lt;=0,0,MIN(C116-E116,G115)))</f>
        <v>301.21</v>
      </c>
      <c r="E116" s="35">
        <f>IF(A116="",0,IF(G115&lt;=0,0,ROUND(G115*('Equity &amp; Loan Setup'!B8/12),2)))</f>
        <v>155.22</v>
      </c>
      <c r="F116" s="35">
        <f>IF(A116="",0,F115+C116)</f>
        <v>51120.160000000025</v>
      </c>
      <c r="G116" s="35">
        <f>IF(A116="",0,MAX(G115-D116,0))</f>
        <v>25390.3</v>
      </c>
      <c r="H116" s="35">
        <f>IF(A116="",0,H115+E116)</f>
        <v>26510.460000000003</v>
      </c>
    </row>
    <row r="117" ht="26" customHeight="1" spans="1:8" x14ac:dyDescent="0.25">
      <c r="A117" s="30">
        <f>IF(G116&gt;0,113,"")</f>
        <v>113</v>
      </c>
      <c r="B117" s="31">
        <f>IF(A117="","",DATE(YEAR('Equity &amp; Loan Setup'!B10),MONTH('Equity &amp; Loan Setup'!B10)+112,DAY('Equity &amp; Loan Setup'!B10)))</f>
        <v>49430</v>
      </c>
      <c r="C117" s="32">
        <f>IF(A117="",0,IF(G116&lt;=0,0,MIN('Equity &amp; Loan Setup'!B20,G116*(1+'Equity &amp; Loan Setup'!B8/12))))</f>
        <v>456.43</v>
      </c>
      <c r="D117" s="32">
        <f>IF(A117="",0,IF(G116&lt;=0,0,MIN(C117-E117,G116)))</f>
        <v>303.03</v>
      </c>
      <c r="E117" s="32">
        <f>IF(A117="",0,IF(G116&lt;=0,0,ROUND(G116*('Equity &amp; Loan Setup'!B8/12),2)))</f>
        <v>153.4</v>
      </c>
      <c r="F117" s="32">
        <f>IF(A117="",0,F116+C117)</f>
        <v>51576.590000000026</v>
      </c>
      <c r="G117" s="32">
        <f>IF(A117="",0,MAX(G116-D117,0))</f>
        <v>25087.27</v>
      </c>
      <c r="H117" s="32">
        <f>IF(A117="",0,H116+E117)</f>
        <v>26663.860000000004</v>
      </c>
    </row>
    <row r="118" ht="26" customHeight="1" spans="1:8" x14ac:dyDescent="0.25">
      <c r="A118" s="33">
        <f>IF(G117&gt;0,114,"")</f>
        <v>114</v>
      </c>
      <c r="B118" s="34">
        <f>IF(A118="","",DATE(YEAR('Equity &amp; Loan Setup'!B10),MONTH('Equity &amp; Loan Setup'!B10)+113,DAY('Equity &amp; Loan Setup'!B10)))</f>
        <v>49461</v>
      </c>
      <c r="C118" s="35">
        <f>IF(A118="",0,IF(G117&lt;=0,0,MIN('Equity &amp; Loan Setup'!B20,G117*(1+'Equity &amp; Loan Setup'!B8/12))))</f>
        <v>456.43</v>
      </c>
      <c r="D118" s="35">
        <f>IF(A118="",0,IF(G117&lt;=0,0,MIN(C118-E118,G117)))</f>
        <v>304.86</v>
      </c>
      <c r="E118" s="35">
        <f>IF(A118="",0,IF(G117&lt;=0,0,ROUND(G117*('Equity &amp; Loan Setup'!B8/12),2)))</f>
        <v>151.57</v>
      </c>
      <c r="F118" s="35">
        <f>IF(A118="",0,F117+C118)</f>
        <v>52033.020000000026</v>
      </c>
      <c r="G118" s="35">
        <f>IF(A118="",0,MAX(G117-D118,0))</f>
        <v>24782.41</v>
      </c>
      <c r="H118" s="35">
        <f>IF(A118="",0,H117+E118)</f>
        <v>26815.430000000004</v>
      </c>
    </row>
    <row r="119" ht="26" customHeight="1" spans="1:8" x14ac:dyDescent="0.25">
      <c r="A119" s="30">
        <f>IF(G118&gt;0,115,"")</f>
        <v>115</v>
      </c>
      <c r="B119" s="31">
        <f>IF(A119="","",DATE(YEAR('Equity &amp; Loan Setup'!B10),MONTH('Equity &amp; Loan Setup'!B10)+114,DAY('Equity &amp; Loan Setup'!B10)))</f>
        <v>49491</v>
      </c>
      <c r="C119" s="32">
        <f>IF(A119="",0,IF(G118&lt;=0,0,MIN('Equity &amp; Loan Setup'!B20,G118*(1+'Equity &amp; Loan Setup'!B8/12))))</f>
        <v>456.43</v>
      </c>
      <c r="D119" s="32">
        <f>IF(A119="",0,IF(G118&lt;=0,0,MIN(C119-E119,G118)))</f>
        <v>306.7</v>
      </c>
      <c r="E119" s="32">
        <f>IF(A119="",0,IF(G118&lt;=0,0,ROUND(G118*('Equity &amp; Loan Setup'!B8/12),2)))</f>
        <v>149.73</v>
      </c>
      <c r="F119" s="32">
        <f>IF(A119="",0,F118+C119)</f>
        <v>52489.450000000026</v>
      </c>
      <c r="G119" s="32">
        <f>IF(A119="",0,MAX(G118-D119,0))</f>
        <v>24475.71</v>
      </c>
      <c r="H119" s="32">
        <f>IF(A119="",0,H118+E119)</f>
        <v>26965.160000000003</v>
      </c>
    </row>
    <row r="120" ht="26" customHeight="1" spans="1:8" x14ac:dyDescent="0.25">
      <c r="A120" s="33">
        <f>IF(G119&gt;0,116,"")</f>
        <v>116</v>
      </c>
      <c r="B120" s="34">
        <f>IF(A120="","",DATE(YEAR('Equity &amp; Loan Setup'!B10),MONTH('Equity &amp; Loan Setup'!B10)+115,DAY('Equity &amp; Loan Setup'!B10)))</f>
        <v>49522</v>
      </c>
      <c r="C120" s="35">
        <f>IF(A120="",0,IF(G119&lt;=0,0,MIN('Equity &amp; Loan Setup'!B20,G119*(1+'Equity &amp; Loan Setup'!B8/12))))</f>
        <v>456.43</v>
      </c>
      <c r="D120" s="35">
        <f>IF(A120="",0,IF(G119&lt;=0,0,MIN(C120-E120,G119)))</f>
        <v>308.56</v>
      </c>
      <c r="E120" s="35">
        <f>IF(A120="",0,IF(G119&lt;=0,0,ROUND(G119*('Equity &amp; Loan Setup'!B8/12),2)))</f>
        <v>147.87</v>
      </c>
      <c r="F120" s="35">
        <f>IF(A120="",0,F119+C120)</f>
        <v>52945.88000000003</v>
      </c>
      <c r="G120" s="35">
        <f>IF(A120="",0,MAX(G119-D120,0))</f>
        <v>24167.15</v>
      </c>
      <c r="H120" s="35">
        <f>IF(A120="",0,H119+E120)</f>
        <v>27113.030000000002</v>
      </c>
    </row>
    <row r="121" ht="26" customHeight="1" spans="1:8" x14ac:dyDescent="0.25">
      <c r="A121" s="30">
        <f>IF(G120&gt;0,117,"")</f>
        <v>117</v>
      </c>
      <c r="B121" s="31">
        <f>IF(A121="","",DATE(YEAR('Equity &amp; Loan Setup'!B10),MONTH('Equity &amp; Loan Setup'!B10)+116,DAY('Equity &amp; Loan Setup'!B10)))</f>
        <v>49553</v>
      </c>
      <c r="C121" s="32">
        <f>IF(A121="",0,IF(G120&lt;=0,0,MIN('Equity &amp; Loan Setup'!B20,G120*(1+'Equity &amp; Loan Setup'!B8/12))))</f>
        <v>456.43</v>
      </c>
      <c r="D121" s="32">
        <f>IF(A121="",0,IF(G120&lt;=0,0,MIN(C121-E121,G120)))</f>
        <v>310.42</v>
      </c>
      <c r="E121" s="32">
        <f>IF(A121="",0,IF(G120&lt;=0,0,ROUND(G120*('Equity &amp; Loan Setup'!B8/12),2)))</f>
        <v>146.01</v>
      </c>
      <c r="F121" s="32">
        <f>IF(A121="",0,F120+C121)</f>
        <v>53402.31000000003</v>
      </c>
      <c r="G121" s="32">
        <f>IF(A121="",0,MAX(G120-D121,0))</f>
        <v>23856.73</v>
      </c>
      <c r="H121" s="32">
        <f>IF(A121="",0,H120+E121)</f>
        <v>27259.04</v>
      </c>
    </row>
    <row r="122" ht="26" customHeight="1" spans="1:8" x14ac:dyDescent="0.25">
      <c r="A122" s="33">
        <f>IF(G121&gt;0,118,"")</f>
        <v>118</v>
      </c>
      <c r="B122" s="34">
        <f>IF(A122="","",DATE(YEAR('Equity &amp; Loan Setup'!B10),MONTH('Equity &amp; Loan Setup'!B10)+117,DAY('Equity &amp; Loan Setup'!B10)))</f>
        <v>49583</v>
      </c>
      <c r="C122" s="35">
        <f>IF(A122="",0,IF(G121&lt;=0,0,MIN('Equity &amp; Loan Setup'!B20,G121*(1+'Equity &amp; Loan Setup'!B8/12))))</f>
        <v>456.43</v>
      </c>
      <c r="D122" s="35">
        <f>IF(A122="",0,IF(G121&lt;=0,0,MIN(C122-E122,G121)))</f>
        <v>312.3</v>
      </c>
      <c r="E122" s="35">
        <f>IF(A122="",0,IF(G121&lt;=0,0,ROUND(G121*('Equity &amp; Loan Setup'!B8/12),2)))</f>
        <v>144.13</v>
      </c>
      <c r="F122" s="35">
        <f>IF(A122="",0,F121+C122)</f>
        <v>53858.74000000003</v>
      </c>
      <c r="G122" s="35">
        <f>IF(A122="",0,MAX(G121-D122,0))</f>
        <v>23544.43</v>
      </c>
      <c r="H122" s="35">
        <f>IF(A122="",0,H121+E122)</f>
        <v>27403.170000000002</v>
      </c>
    </row>
    <row r="123" ht="26" customHeight="1" spans="1:8" x14ac:dyDescent="0.25">
      <c r="A123" s="30">
        <f>IF(G122&gt;0,119,"")</f>
        <v>119</v>
      </c>
      <c r="B123" s="31">
        <f>IF(A123="","",DATE(YEAR('Equity &amp; Loan Setup'!B10),MONTH('Equity &amp; Loan Setup'!B10)+118,DAY('Equity &amp; Loan Setup'!B10)))</f>
        <v>49614</v>
      </c>
      <c r="C123" s="32">
        <f>IF(A123="",0,IF(G122&lt;=0,0,MIN('Equity &amp; Loan Setup'!B20,G122*(1+'Equity &amp; Loan Setup'!B8/12))))</f>
        <v>456.43</v>
      </c>
      <c r="D123" s="32">
        <f>IF(A123="",0,IF(G122&lt;=0,0,MIN(C123-E123,G122)))</f>
        <v>314.18</v>
      </c>
      <c r="E123" s="32">
        <f>IF(A123="",0,IF(G122&lt;=0,0,ROUND(G122*('Equity &amp; Loan Setup'!B8/12),2)))</f>
        <v>142.25</v>
      </c>
      <c r="F123" s="32">
        <f>IF(A123="",0,F122+C123)</f>
        <v>54315.17000000003</v>
      </c>
      <c r="G123" s="32">
        <f>IF(A123="",0,MAX(G122-D123,0))</f>
        <v>23230.25</v>
      </c>
      <c r="H123" s="32">
        <f>IF(A123="",0,H122+E123)</f>
        <v>27545.420000000002</v>
      </c>
    </row>
    <row r="124" ht="26" customHeight="1" spans="1:8" x14ac:dyDescent="0.25">
      <c r="A124" s="33">
        <f>IF(G123&gt;0,120,"")</f>
        <v>120</v>
      </c>
      <c r="B124" s="34">
        <f>IF(A124="","",DATE(YEAR('Equity &amp; Loan Setup'!B10),MONTH('Equity &amp; Loan Setup'!B10)+119,DAY('Equity &amp; Loan Setup'!B10)))</f>
        <v>49644</v>
      </c>
      <c r="C124" s="35">
        <f>IF(A124="",0,IF(G123&lt;=0,0,MIN('Equity &amp; Loan Setup'!B20,G123*(1+'Equity &amp; Loan Setup'!B8/12))))</f>
        <v>456.43</v>
      </c>
      <c r="D124" s="35">
        <f>IF(A124="",0,IF(G123&lt;=0,0,MIN(C124-E124,G123)))</f>
        <v>316.08</v>
      </c>
      <c r="E124" s="35">
        <f>IF(A124="",0,IF(G123&lt;=0,0,ROUND(G123*('Equity &amp; Loan Setup'!B8/12),2)))</f>
        <v>140.35</v>
      </c>
      <c r="F124" s="35">
        <f>IF(A124="",0,F123+C124)</f>
        <v>54771.60000000003</v>
      </c>
      <c r="G124" s="35">
        <f>IF(A124="",0,MAX(G123-D124,0))</f>
        <v>22914.17</v>
      </c>
      <c r="H124" s="35">
        <f>IF(A124="",0,H123+E124)</f>
        <v>27685.77</v>
      </c>
    </row>
    <row r="125" ht="26" customHeight="1" spans="1:8" x14ac:dyDescent="0.25">
      <c r="A125" s="30">
        <f>IF(G124&gt;0,121,"")</f>
        <v>121</v>
      </c>
      <c r="B125" s="31">
        <f>IF(A125="","",DATE(YEAR('Equity &amp; Loan Setup'!B10),MONTH('Equity &amp; Loan Setup'!B10)+120,DAY('Equity &amp; Loan Setup'!B10)))</f>
        <v>49675</v>
      </c>
      <c r="C125" s="32">
        <f>IF(A125="",0,IF(G124&lt;=0,0,MIN('Equity &amp; Loan Setup'!B20,G124*(1+'Equity &amp; Loan Setup'!B8/12))))</f>
        <v>456.43</v>
      </c>
      <c r="D125" s="32">
        <f>IF(A125="",0,IF(G124&lt;=0,0,MIN(C125-E125,G124)))</f>
        <v>317.99</v>
      </c>
      <c r="E125" s="32">
        <f>IF(A125="",0,IF(G124&lt;=0,0,ROUND(G124*('Equity &amp; Loan Setup'!B8/12),2)))</f>
        <v>138.44</v>
      </c>
      <c r="F125" s="32">
        <f>IF(A125="",0,F124+C125)</f>
        <v>55228.03000000003</v>
      </c>
      <c r="G125" s="32">
        <f>IF(A125="",0,MAX(G124-D125,0))</f>
        <v>22596.18</v>
      </c>
      <c r="H125" s="32">
        <f>IF(A125="",0,H124+E125)</f>
        <v>27824.21</v>
      </c>
    </row>
    <row r="126" ht="26" customHeight="1" spans="1:8" x14ac:dyDescent="0.25">
      <c r="A126" s="33">
        <f>IF(G125&gt;0,122,"")</f>
        <v>122</v>
      </c>
      <c r="B126" s="34">
        <f>IF(A126="","",DATE(YEAR('Equity &amp; Loan Setup'!B10),MONTH('Equity &amp; Loan Setup'!B10)+121,DAY('Equity &amp; Loan Setup'!B10)))</f>
        <v>49706</v>
      </c>
      <c r="C126" s="35">
        <f>IF(A126="",0,IF(G125&lt;=0,0,MIN('Equity &amp; Loan Setup'!B20,G125*(1+'Equity &amp; Loan Setup'!B8/12))))</f>
        <v>456.43</v>
      </c>
      <c r="D126" s="35">
        <f>IF(A126="",0,IF(G125&lt;=0,0,MIN(C126-E126,G125)))</f>
        <v>319.91</v>
      </c>
      <c r="E126" s="35">
        <f>IF(A126="",0,IF(G125&lt;=0,0,ROUND(G125*('Equity &amp; Loan Setup'!B8/12),2)))</f>
        <v>136.52</v>
      </c>
      <c r="F126" s="35">
        <f>IF(A126="",0,F125+C126)</f>
        <v>55684.46000000003</v>
      </c>
      <c r="G126" s="35">
        <f>IF(A126="",0,MAX(G125-D126,0))</f>
        <v>22276.27</v>
      </c>
      <c r="H126" s="35">
        <f>IF(A126="",0,H125+E126)</f>
        <v>27960.73</v>
      </c>
    </row>
    <row r="127" ht="26" customHeight="1" spans="1:8" x14ac:dyDescent="0.25">
      <c r="A127" s="30">
        <f>IF(G126&gt;0,123,"")</f>
        <v>123</v>
      </c>
      <c r="B127" s="31">
        <f>IF(A127="","",DATE(YEAR('Equity &amp; Loan Setup'!B10),MONTH('Equity &amp; Loan Setup'!B10)+122,DAY('Equity &amp; Loan Setup'!B10)))</f>
        <v>49735</v>
      </c>
      <c r="C127" s="32">
        <f>IF(A127="",0,IF(G126&lt;=0,0,MIN('Equity &amp; Loan Setup'!B20,G126*(1+'Equity &amp; Loan Setup'!B8/12))))</f>
        <v>456.43</v>
      </c>
      <c r="D127" s="32">
        <f>IF(A127="",0,IF(G126&lt;=0,0,MIN(C127-E127,G126)))</f>
        <v>321.84</v>
      </c>
      <c r="E127" s="32">
        <f>IF(A127="",0,IF(G126&lt;=0,0,ROUND(G126*('Equity &amp; Loan Setup'!B8/12),2)))</f>
        <v>134.59</v>
      </c>
      <c r="F127" s="32">
        <f>IF(A127="",0,F126+C127)</f>
        <v>56140.89000000003</v>
      </c>
      <c r="G127" s="32">
        <f>IF(A127="",0,MAX(G126-D127,0))</f>
        <v>21954.43</v>
      </c>
      <c r="H127" s="32">
        <f>IF(A127="",0,H126+E127)</f>
        <v>28095.32</v>
      </c>
    </row>
    <row r="128" ht="26" customHeight="1" spans="1:8" x14ac:dyDescent="0.25">
      <c r="A128" s="33">
        <f>IF(G127&gt;0,124,"")</f>
        <v>124</v>
      </c>
      <c r="B128" s="34">
        <f>IF(A128="","",DATE(YEAR('Equity &amp; Loan Setup'!B10),MONTH('Equity &amp; Loan Setup'!B10)+123,DAY('Equity &amp; Loan Setup'!B10)))</f>
        <v>49766</v>
      </c>
      <c r="C128" s="35">
        <f>IF(A128="",0,IF(G127&lt;=0,0,MIN('Equity &amp; Loan Setup'!B20,G127*(1+'Equity &amp; Loan Setup'!B8/12))))</f>
        <v>456.43</v>
      </c>
      <c r="D128" s="35">
        <f>IF(A128="",0,IF(G127&lt;=0,0,MIN(C128-E128,G127)))</f>
        <v>323.79</v>
      </c>
      <c r="E128" s="35">
        <f>IF(A128="",0,IF(G127&lt;=0,0,ROUND(G127*('Equity &amp; Loan Setup'!B8/12),2)))</f>
        <v>132.64</v>
      </c>
      <c r="F128" s="35">
        <f>IF(A128="",0,F127+C128)</f>
        <v>56597.32000000003</v>
      </c>
      <c r="G128" s="35">
        <f>IF(A128="",0,MAX(G127-D128,0))</f>
        <v>21630.64</v>
      </c>
      <c r="H128" s="35">
        <f>IF(A128="",0,H127+E128)</f>
        <v>28227.96</v>
      </c>
    </row>
    <row r="129" ht="26" customHeight="1" spans="1:8" x14ac:dyDescent="0.25">
      <c r="A129" s="30">
        <f>IF(G128&gt;0,125,"")</f>
        <v>125</v>
      </c>
      <c r="B129" s="31">
        <f>IF(A129="","",DATE(YEAR('Equity &amp; Loan Setup'!B10),MONTH('Equity &amp; Loan Setup'!B10)+124,DAY('Equity &amp; Loan Setup'!B10)))</f>
        <v>49796</v>
      </c>
      <c r="C129" s="32">
        <f>IF(A129="",0,IF(G128&lt;=0,0,MIN('Equity &amp; Loan Setup'!B20,G128*(1+'Equity &amp; Loan Setup'!B8/12))))</f>
        <v>456.43</v>
      </c>
      <c r="D129" s="32">
        <f>IF(A129="",0,IF(G128&lt;=0,0,MIN(C129-E129,G128)))</f>
        <v>325.74</v>
      </c>
      <c r="E129" s="32">
        <f>IF(A129="",0,IF(G128&lt;=0,0,ROUND(G128*('Equity &amp; Loan Setup'!B8/12),2)))</f>
        <v>130.69</v>
      </c>
      <c r="F129" s="32">
        <f>IF(A129="",0,F128+C129)</f>
        <v>57053.75000000003</v>
      </c>
      <c r="G129" s="32">
        <f>IF(A129="",0,MAX(G128-D129,0))</f>
        <v>21304.9</v>
      </c>
      <c r="H129" s="32">
        <f>IF(A129="",0,H128+E129)</f>
        <v>28358.649999999998</v>
      </c>
    </row>
    <row r="130" ht="26" customHeight="1" spans="1:8" x14ac:dyDescent="0.25">
      <c r="A130" s="33">
        <f>IF(G129&gt;0,126,"")</f>
        <v>126</v>
      </c>
      <c r="B130" s="34">
        <f>IF(A130="","",DATE(YEAR('Equity &amp; Loan Setup'!B10),MONTH('Equity &amp; Loan Setup'!B10)+125,DAY('Equity &amp; Loan Setup'!B10)))</f>
        <v>49827</v>
      </c>
      <c r="C130" s="35">
        <f>IF(A130="",0,IF(G129&lt;=0,0,MIN('Equity &amp; Loan Setup'!B20,G129*(1+'Equity &amp; Loan Setup'!B8/12))))</f>
        <v>456.43</v>
      </c>
      <c r="D130" s="35">
        <f>IF(A130="",0,IF(G129&lt;=0,0,MIN(C130-E130,G129)))</f>
        <v>327.71</v>
      </c>
      <c r="E130" s="35">
        <f>IF(A130="",0,IF(G129&lt;=0,0,ROUND(G129*('Equity &amp; Loan Setup'!B8/12),2)))</f>
        <v>128.72</v>
      </c>
      <c r="F130" s="35">
        <f>IF(A130="",0,F129+C130)</f>
        <v>57510.18000000003</v>
      </c>
      <c r="G130" s="35">
        <f>IF(A130="",0,MAX(G129-D130,0))</f>
        <v>20977.19</v>
      </c>
      <c r="H130" s="35">
        <f>IF(A130="",0,H129+E130)</f>
        <v>28487.37</v>
      </c>
    </row>
    <row r="131" ht="26" customHeight="1" spans="1:8" x14ac:dyDescent="0.25">
      <c r="A131" s="30">
        <f>IF(G130&gt;0,127,"")</f>
        <v>127</v>
      </c>
      <c r="B131" s="31">
        <f>IF(A131="","",DATE(YEAR('Equity &amp; Loan Setup'!B10),MONTH('Equity &amp; Loan Setup'!B10)+126,DAY('Equity &amp; Loan Setup'!B10)))</f>
        <v>49857</v>
      </c>
      <c r="C131" s="32">
        <f>IF(A131="",0,IF(G130&lt;=0,0,MIN('Equity &amp; Loan Setup'!B20,G130*(1+'Equity &amp; Loan Setup'!B8/12))))</f>
        <v>456.43</v>
      </c>
      <c r="D131" s="32">
        <f>IF(A131="",0,IF(G130&lt;=0,0,MIN(C131-E131,G130)))</f>
        <v>329.69</v>
      </c>
      <c r="E131" s="32">
        <f>IF(A131="",0,IF(G130&lt;=0,0,ROUND(G130*('Equity &amp; Loan Setup'!B8/12),2)))</f>
        <v>126.74</v>
      </c>
      <c r="F131" s="32">
        <f>IF(A131="",0,F130+C131)</f>
        <v>57966.61000000003</v>
      </c>
      <c r="G131" s="32">
        <f>IF(A131="",0,MAX(G130-D131,0))</f>
        <v>20647.5</v>
      </c>
      <c r="H131" s="32">
        <f>IF(A131="",0,H130+E131)</f>
        <v>28614.11</v>
      </c>
    </row>
    <row r="132" ht="26" customHeight="1" spans="1:8" x14ac:dyDescent="0.25">
      <c r="A132" s="33">
        <f>IF(G131&gt;0,128,"")</f>
        <v>128</v>
      </c>
      <c r="B132" s="34">
        <f>IF(A132="","",DATE(YEAR('Equity &amp; Loan Setup'!B10),MONTH('Equity &amp; Loan Setup'!B10)+127,DAY('Equity &amp; Loan Setup'!B10)))</f>
        <v>49888</v>
      </c>
      <c r="C132" s="35">
        <f>IF(A132="",0,IF(G131&lt;=0,0,MIN('Equity &amp; Loan Setup'!B20,G131*(1+'Equity &amp; Loan Setup'!B8/12))))</f>
        <v>456.43</v>
      </c>
      <c r="D132" s="35">
        <f>IF(A132="",0,IF(G131&lt;=0,0,MIN(C132-E132,G131)))</f>
        <v>331.68</v>
      </c>
      <c r="E132" s="35">
        <f>IF(A132="",0,IF(G131&lt;=0,0,ROUND(G131*('Equity &amp; Loan Setup'!B8/12),2)))</f>
        <v>124.75</v>
      </c>
      <c r="F132" s="35">
        <f>IF(A132="",0,F131+C132)</f>
        <v>58423.04000000003</v>
      </c>
      <c r="G132" s="35">
        <f>IF(A132="",0,MAX(G131-D132,0))</f>
        <v>20315.82</v>
      </c>
      <c r="H132" s="35">
        <f>IF(A132="",0,H131+E132)</f>
        <v>28738.86</v>
      </c>
    </row>
    <row r="133" ht="26" customHeight="1" spans="1:8" x14ac:dyDescent="0.25">
      <c r="A133" s="30">
        <f>IF(G132&gt;0,129,"")</f>
        <v>129</v>
      </c>
      <c r="B133" s="31">
        <f>IF(A133="","",DATE(YEAR('Equity &amp; Loan Setup'!B10),MONTH('Equity &amp; Loan Setup'!B10)+128,DAY('Equity &amp; Loan Setup'!B10)))</f>
        <v>49919</v>
      </c>
      <c r="C133" s="32">
        <f>IF(A133="",0,IF(G132&lt;=0,0,MIN('Equity &amp; Loan Setup'!B20,G132*(1+'Equity &amp; Loan Setup'!B8/12))))</f>
        <v>456.43</v>
      </c>
      <c r="D133" s="32">
        <f>IF(A133="",0,IF(G132&lt;=0,0,MIN(C133-E133,G132)))</f>
        <v>333.69</v>
      </c>
      <c r="E133" s="32">
        <f>IF(A133="",0,IF(G132&lt;=0,0,ROUND(G132*('Equity &amp; Loan Setup'!B8/12),2)))</f>
        <v>122.74</v>
      </c>
      <c r="F133" s="32">
        <f>IF(A133="",0,F132+C133)</f>
        <v>58879.47000000003</v>
      </c>
      <c r="G133" s="32">
        <f>IF(A133="",0,MAX(G132-D133,0))</f>
        <v>19982.13</v>
      </c>
      <c r="H133" s="32">
        <f>IF(A133="",0,H132+E133)</f>
        <v>28861.600000000002</v>
      </c>
    </row>
    <row r="134" ht="26" customHeight="1" spans="1:8" x14ac:dyDescent="0.25">
      <c r="A134" s="33">
        <f>IF(G133&gt;0,130,"")</f>
        <v>130</v>
      </c>
      <c r="B134" s="34">
        <f>IF(A134="","",DATE(YEAR('Equity &amp; Loan Setup'!B10),MONTH('Equity &amp; Loan Setup'!B10)+129,DAY('Equity &amp; Loan Setup'!B10)))</f>
        <v>49949</v>
      </c>
      <c r="C134" s="35">
        <f>IF(A134="",0,IF(G133&lt;=0,0,MIN('Equity &amp; Loan Setup'!B20,G133*(1+'Equity &amp; Loan Setup'!B8/12))))</f>
        <v>456.43</v>
      </c>
      <c r="D134" s="35">
        <f>IF(A134="",0,IF(G133&lt;=0,0,MIN(C134-E134,G133)))</f>
        <v>335.7</v>
      </c>
      <c r="E134" s="35">
        <f>IF(A134="",0,IF(G133&lt;=0,0,ROUND(G133*('Equity &amp; Loan Setup'!B8/12),2)))</f>
        <v>120.73</v>
      </c>
      <c r="F134" s="35">
        <f>IF(A134="",0,F133+C134)</f>
        <v>59335.90000000003</v>
      </c>
      <c r="G134" s="35">
        <f>IF(A134="",0,MAX(G133-D134,0))</f>
        <v>19646.43</v>
      </c>
      <c r="H134" s="35">
        <f>IF(A134="",0,H133+E134)</f>
        <v>28982.33</v>
      </c>
    </row>
    <row r="135" ht="26" customHeight="1" spans="1:8" x14ac:dyDescent="0.25">
      <c r="A135" s="30">
        <f>IF(G134&gt;0,131,"")</f>
        <v>131</v>
      </c>
      <c r="B135" s="31">
        <f>IF(A135="","",DATE(YEAR('Equity &amp; Loan Setup'!B10),MONTH('Equity &amp; Loan Setup'!B10)+130,DAY('Equity &amp; Loan Setup'!B10)))</f>
        <v>49980</v>
      </c>
      <c r="C135" s="32">
        <f>IF(A135="",0,IF(G134&lt;=0,0,MIN('Equity &amp; Loan Setup'!B20,G134*(1+'Equity &amp; Loan Setup'!B8/12))))</f>
        <v>456.43</v>
      </c>
      <c r="D135" s="32">
        <f>IF(A135="",0,IF(G134&lt;=0,0,MIN(C135-E135,G134)))</f>
        <v>337.73</v>
      </c>
      <c r="E135" s="32">
        <f>IF(A135="",0,IF(G134&lt;=0,0,ROUND(G134*('Equity &amp; Loan Setup'!B8/12),2)))</f>
        <v>118.7</v>
      </c>
      <c r="F135" s="32">
        <f>IF(A135="",0,F134+C135)</f>
        <v>59792.33000000003</v>
      </c>
      <c r="G135" s="32">
        <f>IF(A135="",0,MAX(G134-D135,0))</f>
        <v>19308.7</v>
      </c>
      <c r="H135" s="32">
        <f>IF(A135="",0,H134+E135)</f>
        <v>29101.030000000002</v>
      </c>
    </row>
    <row r="136" ht="26" customHeight="1" spans="1:8" x14ac:dyDescent="0.25">
      <c r="A136" s="33">
        <f>IF(G135&gt;0,132,"")</f>
        <v>132</v>
      </c>
      <c r="B136" s="34">
        <f>IF(A136="","",DATE(YEAR('Equity &amp; Loan Setup'!B10),MONTH('Equity &amp; Loan Setup'!B10)+131,DAY('Equity &amp; Loan Setup'!B10)))</f>
        <v>50010</v>
      </c>
      <c r="C136" s="35">
        <f>IF(A136="",0,IF(G135&lt;=0,0,MIN('Equity &amp; Loan Setup'!B20,G135*(1+'Equity &amp; Loan Setup'!B8/12))))</f>
        <v>456.43</v>
      </c>
      <c r="D136" s="35">
        <f>IF(A136="",0,IF(G135&lt;=0,0,MIN(C136-E136,G135)))</f>
        <v>339.77</v>
      </c>
      <c r="E136" s="35">
        <f>IF(A136="",0,IF(G135&lt;=0,0,ROUND(G135*('Equity &amp; Loan Setup'!B8/12),2)))</f>
        <v>116.66</v>
      </c>
      <c r="F136" s="35">
        <f>IF(A136="",0,F135+C136)</f>
        <v>60248.76000000003</v>
      </c>
      <c r="G136" s="35">
        <f>IF(A136="",0,MAX(G135-D136,0))</f>
        <v>18968.93</v>
      </c>
      <c r="H136" s="35">
        <f>IF(A136="",0,H135+E136)</f>
        <v>29217.690000000002</v>
      </c>
    </row>
    <row r="137" ht="26" customHeight="1" spans="1:8" x14ac:dyDescent="0.25">
      <c r="A137" s="30">
        <f>IF(G136&gt;0,133,"")</f>
        <v>133</v>
      </c>
      <c r="B137" s="31">
        <f>IF(A137="","",DATE(YEAR('Equity &amp; Loan Setup'!B10),MONTH('Equity &amp; Loan Setup'!B10)+132,DAY('Equity &amp; Loan Setup'!B10)))</f>
        <v>50041</v>
      </c>
      <c r="C137" s="32">
        <f>IF(A137="",0,IF(G136&lt;=0,0,MIN('Equity &amp; Loan Setup'!B20,G136*(1+'Equity &amp; Loan Setup'!B8/12))))</f>
        <v>456.43</v>
      </c>
      <c r="D137" s="32">
        <f>IF(A137="",0,IF(G136&lt;=0,0,MIN(C137-E137,G136)))</f>
        <v>341.83</v>
      </c>
      <c r="E137" s="32">
        <f>IF(A137="",0,IF(G136&lt;=0,0,ROUND(G136*('Equity &amp; Loan Setup'!B8/12),2)))</f>
        <v>114.6</v>
      </c>
      <c r="F137" s="32">
        <f>IF(A137="",0,F136+C137)</f>
        <v>60705.19000000003</v>
      </c>
      <c r="G137" s="32">
        <f>IF(A137="",0,MAX(G136-D137,0))</f>
        <v>18627.1</v>
      </c>
      <c r="H137" s="32">
        <f>IF(A137="",0,H136+E137)</f>
        <v>29332.29</v>
      </c>
    </row>
    <row r="138" ht="26" customHeight="1" spans="1:8" x14ac:dyDescent="0.25">
      <c r="A138" s="33">
        <f>IF(G137&gt;0,134,"")</f>
        <v>134</v>
      </c>
      <c r="B138" s="34">
        <f>IF(A138="","",DATE(YEAR('Equity &amp; Loan Setup'!B10),MONTH('Equity &amp; Loan Setup'!B10)+133,DAY('Equity &amp; Loan Setup'!B10)))</f>
        <v>50072</v>
      </c>
      <c r="C138" s="35">
        <f>IF(A138="",0,IF(G137&lt;=0,0,MIN('Equity &amp; Loan Setup'!B20,G137*(1+'Equity &amp; Loan Setup'!B8/12))))</f>
        <v>456.43</v>
      </c>
      <c r="D138" s="35">
        <f>IF(A138="",0,IF(G137&lt;=0,0,MIN(C138-E138,G137)))</f>
        <v>343.89</v>
      </c>
      <c r="E138" s="35">
        <f>IF(A138="",0,IF(G137&lt;=0,0,ROUND(G137*('Equity &amp; Loan Setup'!B8/12),2)))</f>
        <v>112.54</v>
      </c>
      <c r="F138" s="35">
        <f>IF(A138="",0,F137+C138)</f>
        <v>61161.62000000003</v>
      </c>
      <c r="G138" s="35">
        <f>IF(A138="",0,MAX(G137-D138,0))</f>
        <v>18283.21</v>
      </c>
      <c r="H138" s="35">
        <f>IF(A138="",0,H137+E138)</f>
        <v>29444.83</v>
      </c>
    </row>
    <row r="139" ht="26" customHeight="1" spans="1:8" x14ac:dyDescent="0.25">
      <c r="A139" s="30">
        <f>IF(G138&gt;0,135,"")</f>
        <v>135</v>
      </c>
      <c r="B139" s="31">
        <f>IF(A139="","",DATE(YEAR('Equity &amp; Loan Setup'!B10),MONTH('Equity &amp; Loan Setup'!B10)+134,DAY('Equity &amp; Loan Setup'!B10)))</f>
        <v>50100</v>
      </c>
      <c r="C139" s="32">
        <f>IF(A139="",0,IF(G138&lt;=0,0,MIN('Equity &amp; Loan Setup'!B20,G138*(1+'Equity &amp; Loan Setup'!B8/12))))</f>
        <v>456.43</v>
      </c>
      <c r="D139" s="32">
        <f>IF(A139="",0,IF(G138&lt;=0,0,MIN(C139-E139,G138)))</f>
        <v>345.97</v>
      </c>
      <c r="E139" s="32">
        <f>IF(A139="",0,IF(G138&lt;=0,0,ROUND(G138*('Equity &amp; Loan Setup'!B8/12),2)))</f>
        <v>110.46</v>
      </c>
      <c r="F139" s="32">
        <f>IF(A139="",0,F138+C139)</f>
        <v>61618.05000000003</v>
      </c>
      <c r="G139" s="32">
        <f>IF(A139="",0,MAX(G138-D139,0))</f>
        <v>17937.24</v>
      </c>
      <c r="H139" s="32">
        <f>IF(A139="",0,H138+E139)</f>
        <v>29555.29</v>
      </c>
    </row>
    <row r="140" ht="26" customHeight="1" spans="1:8" x14ac:dyDescent="0.25">
      <c r="A140" s="33">
        <f>IF(G139&gt;0,136,"")</f>
        <v>136</v>
      </c>
      <c r="B140" s="34">
        <f>IF(A140="","",DATE(YEAR('Equity &amp; Loan Setup'!B10),MONTH('Equity &amp; Loan Setup'!B10)+135,DAY('Equity &amp; Loan Setup'!B10)))</f>
        <v>50131</v>
      </c>
      <c r="C140" s="35">
        <f>IF(A140="",0,IF(G139&lt;=0,0,MIN('Equity &amp; Loan Setup'!B20,G139*(1+'Equity &amp; Loan Setup'!B8/12))))</f>
        <v>456.43</v>
      </c>
      <c r="D140" s="35">
        <f>IF(A140="",0,IF(G139&lt;=0,0,MIN(C140-E140,G139)))</f>
        <v>348.06</v>
      </c>
      <c r="E140" s="35">
        <f>IF(A140="",0,IF(G139&lt;=0,0,ROUND(G139*('Equity &amp; Loan Setup'!B8/12),2)))</f>
        <v>108.37</v>
      </c>
      <c r="F140" s="35">
        <f>IF(A140="",0,F139+C140)</f>
        <v>62074.48000000003</v>
      </c>
      <c r="G140" s="35">
        <f>IF(A140="",0,MAX(G139-D140,0))</f>
        <v>17589.18</v>
      </c>
      <c r="H140" s="35">
        <f>IF(A140="",0,H139+E140)</f>
        <v>29663.66</v>
      </c>
    </row>
    <row r="141" ht="26" customHeight="1" spans="1:8" x14ac:dyDescent="0.25">
      <c r="A141" s="30">
        <f>IF(G140&gt;0,137,"")</f>
        <v>137</v>
      </c>
      <c r="B141" s="31">
        <f>IF(A141="","",DATE(YEAR('Equity &amp; Loan Setup'!B10),MONTH('Equity &amp; Loan Setup'!B10)+136,DAY('Equity &amp; Loan Setup'!B10)))</f>
        <v>50161</v>
      </c>
      <c r="C141" s="32">
        <f>IF(A141="",0,IF(G140&lt;=0,0,MIN('Equity &amp; Loan Setup'!B20,G140*(1+'Equity &amp; Loan Setup'!B8/12))))</f>
        <v>456.43</v>
      </c>
      <c r="D141" s="32">
        <f>IF(A141="",0,IF(G140&lt;=0,0,MIN(C141-E141,G140)))</f>
        <v>350.16</v>
      </c>
      <c r="E141" s="32">
        <f>IF(A141="",0,IF(G140&lt;=0,0,ROUND(G140*('Equity &amp; Loan Setup'!B8/12),2)))</f>
        <v>106.27</v>
      </c>
      <c r="F141" s="32">
        <f>IF(A141="",0,F140+C141)</f>
        <v>62530.91000000003</v>
      </c>
      <c r="G141" s="32">
        <f>IF(A141="",0,MAX(G140-D141,0))</f>
        <v>17239.02</v>
      </c>
      <c r="H141" s="32">
        <f>IF(A141="",0,H140+E141)</f>
        <v>29769.93</v>
      </c>
    </row>
    <row r="142" ht="26" customHeight="1" spans="1:8" x14ac:dyDescent="0.25">
      <c r="A142" s="33">
        <f>IF(G141&gt;0,138,"")</f>
        <v>138</v>
      </c>
      <c r="B142" s="34">
        <f>IF(A142="","",DATE(YEAR('Equity &amp; Loan Setup'!B10),MONTH('Equity &amp; Loan Setup'!B10)+137,DAY('Equity &amp; Loan Setup'!B10)))</f>
        <v>50192</v>
      </c>
      <c r="C142" s="35">
        <f>IF(A142="",0,IF(G141&lt;=0,0,MIN('Equity &amp; Loan Setup'!B20,G141*(1+'Equity &amp; Loan Setup'!B8/12))))</f>
        <v>456.43</v>
      </c>
      <c r="D142" s="35">
        <f>IF(A142="",0,IF(G141&lt;=0,0,MIN(C142-E142,G141)))</f>
        <v>352.28</v>
      </c>
      <c r="E142" s="35">
        <f>IF(A142="",0,IF(G141&lt;=0,0,ROUND(G141*('Equity &amp; Loan Setup'!B8/12),2)))</f>
        <v>104.15</v>
      </c>
      <c r="F142" s="35">
        <f>IF(A142="",0,F141+C142)</f>
        <v>62987.34000000003</v>
      </c>
      <c r="G142" s="35">
        <f>IF(A142="",0,MAX(G141-D142,0))</f>
        <v>16886.74</v>
      </c>
      <c r="H142" s="35">
        <f>IF(A142="",0,H141+E142)</f>
        <v>29874.08</v>
      </c>
    </row>
    <row r="143" ht="26" customHeight="1" spans="1:8" x14ac:dyDescent="0.25">
      <c r="A143" s="30">
        <f>IF(G142&gt;0,139,"")</f>
        <v>139</v>
      </c>
      <c r="B143" s="31">
        <f>IF(A143="","",DATE(YEAR('Equity &amp; Loan Setup'!B10),MONTH('Equity &amp; Loan Setup'!B10)+138,DAY('Equity &amp; Loan Setup'!B10)))</f>
        <v>50222</v>
      </c>
      <c r="C143" s="32">
        <f>IF(A143="",0,IF(G142&lt;=0,0,MIN('Equity &amp; Loan Setup'!B20,G142*(1+'Equity &amp; Loan Setup'!B8/12))))</f>
        <v>456.43</v>
      </c>
      <c r="D143" s="32">
        <f>IF(A143="",0,IF(G142&lt;=0,0,MIN(C143-E143,G142)))</f>
        <v>354.41</v>
      </c>
      <c r="E143" s="32">
        <f>IF(A143="",0,IF(G142&lt;=0,0,ROUND(G142*('Equity &amp; Loan Setup'!B8/12),2)))</f>
        <v>102.02</v>
      </c>
      <c r="F143" s="32">
        <f>IF(A143="",0,F142+C143)</f>
        <v>63443.77000000003</v>
      </c>
      <c r="G143" s="32">
        <f>IF(A143="",0,MAX(G142-D143,0))</f>
        <v>16532.33</v>
      </c>
      <c r="H143" s="32">
        <f>IF(A143="",0,H142+E143)</f>
        <v>29976.100000000002</v>
      </c>
    </row>
    <row r="144" ht="26" customHeight="1" spans="1:8" x14ac:dyDescent="0.25">
      <c r="A144" s="33">
        <f>IF(G143&gt;0,140,"")</f>
        <v>140</v>
      </c>
      <c r="B144" s="34">
        <f>IF(A144="","",DATE(YEAR('Equity &amp; Loan Setup'!B10),MONTH('Equity &amp; Loan Setup'!B10)+139,DAY('Equity &amp; Loan Setup'!B10)))</f>
        <v>50253</v>
      </c>
      <c r="C144" s="35">
        <f>IF(A144="",0,IF(G143&lt;=0,0,MIN('Equity &amp; Loan Setup'!B20,G143*(1+'Equity &amp; Loan Setup'!B8/12))))</f>
        <v>456.43</v>
      </c>
      <c r="D144" s="35">
        <f>IF(A144="",0,IF(G143&lt;=0,0,MIN(C144-E144,G143)))</f>
        <v>356.55</v>
      </c>
      <c r="E144" s="35">
        <f>IF(A144="",0,IF(G143&lt;=0,0,ROUND(G143*('Equity &amp; Loan Setup'!B8/12),2)))</f>
        <v>99.88</v>
      </c>
      <c r="F144" s="35">
        <f>IF(A144="",0,F143+C144)</f>
        <v>63900.20000000003</v>
      </c>
      <c r="G144" s="35">
        <f>IF(A144="",0,MAX(G143-D144,0))</f>
        <v>16175.78</v>
      </c>
      <c r="H144" s="35">
        <f>IF(A144="",0,H143+E144)</f>
        <v>30075.980000000003</v>
      </c>
    </row>
    <row r="145" ht="26" customHeight="1" spans="1:8" x14ac:dyDescent="0.25">
      <c r="A145" s="30">
        <f>IF(G144&gt;0,141,"")</f>
        <v>141</v>
      </c>
      <c r="B145" s="31">
        <f>IF(A145="","",DATE(YEAR('Equity &amp; Loan Setup'!B10),MONTH('Equity &amp; Loan Setup'!B10)+140,DAY('Equity &amp; Loan Setup'!B10)))</f>
        <v>50284</v>
      </c>
      <c r="C145" s="32">
        <f>IF(A145="",0,IF(G144&lt;=0,0,MIN('Equity &amp; Loan Setup'!B20,G144*(1+'Equity &amp; Loan Setup'!B8/12))))</f>
        <v>456.43</v>
      </c>
      <c r="D145" s="32">
        <f>IF(A145="",0,IF(G144&lt;=0,0,MIN(C145-E145,G144)))</f>
        <v>358.7</v>
      </c>
      <c r="E145" s="32">
        <f>IF(A145="",0,IF(G144&lt;=0,0,ROUND(G144*('Equity &amp; Loan Setup'!B8/12),2)))</f>
        <v>97.73</v>
      </c>
      <c r="F145" s="32">
        <f>IF(A145="",0,F144+C145)</f>
        <v>64356.630000000034</v>
      </c>
      <c r="G145" s="32">
        <f>IF(A145="",0,MAX(G144-D145,0))</f>
        <v>15817.08</v>
      </c>
      <c r="H145" s="32">
        <f>IF(A145="",0,H144+E145)</f>
        <v>30173.710000000003</v>
      </c>
    </row>
    <row r="146" ht="26" customHeight="1" spans="1:8" x14ac:dyDescent="0.25">
      <c r="A146" s="33">
        <f>IF(G145&gt;0,142,"")</f>
        <v>142</v>
      </c>
      <c r="B146" s="34">
        <f>IF(A146="","",DATE(YEAR('Equity &amp; Loan Setup'!B10),MONTH('Equity &amp; Loan Setup'!B10)+141,DAY('Equity &amp; Loan Setup'!B10)))</f>
        <v>50314</v>
      </c>
      <c r="C146" s="35">
        <f>IF(A146="",0,IF(G145&lt;=0,0,MIN('Equity &amp; Loan Setup'!B20,G145*(1+'Equity &amp; Loan Setup'!B8/12))))</f>
        <v>456.43</v>
      </c>
      <c r="D146" s="35">
        <f>IF(A146="",0,IF(G145&lt;=0,0,MIN(C146-E146,G145)))</f>
        <v>360.87</v>
      </c>
      <c r="E146" s="35">
        <f>IF(A146="",0,IF(G145&lt;=0,0,ROUND(G145*('Equity &amp; Loan Setup'!B8/12),2)))</f>
        <v>95.56</v>
      </c>
      <c r="F146" s="35">
        <f>IF(A146="",0,F145+C146)</f>
        <v>64813.060000000034</v>
      </c>
      <c r="G146" s="35">
        <f>IF(A146="",0,MAX(G145-D146,0))</f>
        <v>15456.21</v>
      </c>
      <c r="H146" s="35">
        <f>IF(A146="",0,H145+E146)</f>
        <v>30269.270000000004</v>
      </c>
    </row>
    <row r="147" ht="26" customHeight="1" spans="1:8" x14ac:dyDescent="0.25">
      <c r="A147" s="30">
        <f>IF(G146&gt;0,143,"")</f>
        <v>143</v>
      </c>
      <c r="B147" s="31">
        <f>IF(A147="","",DATE(YEAR('Equity &amp; Loan Setup'!B10),MONTH('Equity &amp; Loan Setup'!B10)+142,DAY('Equity &amp; Loan Setup'!B10)))</f>
        <v>50345</v>
      </c>
      <c r="C147" s="32">
        <f>IF(A147="",0,IF(G146&lt;=0,0,MIN('Equity &amp; Loan Setup'!B20,G146*(1+'Equity &amp; Loan Setup'!B8/12))))</f>
        <v>456.43</v>
      </c>
      <c r="D147" s="32">
        <f>IF(A147="",0,IF(G146&lt;=0,0,MIN(C147-E147,G146)))</f>
        <v>363.05</v>
      </c>
      <c r="E147" s="32">
        <f>IF(A147="",0,IF(G146&lt;=0,0,ROUND(G146*('Equity &amp; Loan Setup'!B8/12),2)))</f>
        <v>93.38</v>
      </c>
      <c r="F147" s="32">
        <f>IF(A147="",0,F146+C147)</f>
        <v>65269.490000000034</v>
      </c>
      <c r="G147" s="32">
        <f>IF(A147="",0,MAX(G146-D147,0))</f>
        <v>15093.16</v>
      </c>
      <c r="H147" s="32">
        <f>IF(A147="",0,H146+E147)</f>
        <v>30362.650000000005</v>
      </c>
    </row>
    <row r="148" ht="26" customHeight="1" spans="1:8" x14ac:dyDescent="0.25">
      <c r="A148" s="33">
        <f>IF(G147&gt;0,144,"")</f>
        <v>144</v>
      </c>
      <c r="B148" s="34">
        <f>IF(A148="","",DATE(YEAR('Equity &amp; Loan Setup'!B10),MONTH('Equity &amp; Loan Setup'!B10)+143,DAY('Equity &amp; Loan Setup'!B10)))</f>
        <v>50375</v>
      </c>
      <c r="C148" s="35">
        <f>IF(A148="",0,IF(G147&lt;=0,0,MIN('Equity &amp; Loan Setup'!B20,G147*(1+'Equity &amp; Loan Setup'!B8/12))))</f>
        <v>456.43</v>
      </c>
      <c r="D148" s="35">
        <f>IF(A148="",0,IF(G147&lt;=0,0,MIN(C148-E148,G147)))</f>
        <v>365.24</v>
      </c>
      <c r="E148" s="35">
        <f>IF(A148="",0,IF(G147&lt;=0,0,ROUND(G147*('Equity &amp; Loan Setup'!B8/12),2)))</f>
        <v>91.19</v>
      </c>
      <c r="F148" s="35">
        <f>IF(A148="",0,F147+C148)</f>
        <v>65725.92000000003</v>
      </c>
      <c r="G148" s="35">
        <f>IF(A148="",0,MAX(G147-D148,0))</f>
        <v>14727.92</v>
      </c>
      <c r="H148" s="35">
        <f>IF(A148="",0,H147+E148)</f>
        <v>30453.840000000004</v>
      </c>
    </row>
    <row r="149" ht="26" customHeight="1" spans="1:8" x14ac:dyDescent="0.25">
      <c r="A149" s="30">
        <f>IF(G148&gt;0,145,"")</f>
        <v>145</v>
      </c>
      <c r="B149" s="31">
        <f>IF(A149="","",DATE(YEAR('Equity &amp; Loan Setup'!B10),MONTH('Equity &amp; Loan Setup'!B10)+144,DAY('Equity &amp; Loan Setup'!B10)))</f>
        <v>50406</v>
      </c>
      <c r="C149" s="32">
        <f>IF(A149="",0,IF(G148&lt;=0,0,MIN('Equity &amp; Loan Setup'!B20,G148*(1+'Equity &amp; Loan Setup'!B8/12))))</f>
        <v>456.43</v>
      </c>
      <c r="D149" s="32">
        <f>IF(A149="",0,IF(G148&lt;=0,0,MIN(C149-E149,G148)))</f>
        <v>367.45</v>
      </c>
      <c r="E149" s="32">
        <f>IF(A149="",0,IF(G148&lt;=0,0,ROUND(G148*('Equity &amp; Loan Setup'!B8/12),2)))</f>
        <v>88.98</v>
      </c>
      <c r="F149" s="32">
        <f>IF(A149="",0,F148+C149)</f>
        <v>66182.35000000002</v>
      </c>
      <c r="G149" s="32">
        <f>IF(A149="",0,MAX(G148-D149,0))</f>
        <v>14360.47</v>
      </c>
      <c r="H149" s="32">
        <f>IF(A149="",0,H148+E149)</f>
        <v>30542.820000000003</v>
      </c>
    </row>
    <row r="150" ht="26" customHeight="1" spans="1:8" x14ac:dyDescent="0.25">
      <c r="A150" s="33">
        <f>IF(G149&gt;0,146,"")</f>
        <v>146</v>
      </c>
      <c r="B150" s="34">
        <f>IF(A150="","",DATE(YEAR('Equity &amp; Loan Setup'!B10),MONTH('Equity &amp; Loan Setup'!B10)+145,DAY('Equity &amp; Loan Setup'!B10)))</f>
        <v>50437</v>
      </c>
      <c r="C150" s="35">
        <f>IF(A150="",0,IF(G149&lt;=0,0,MIN('Equity &amp; Loan Setup'!B20,G149*(1+'Equity &amp; Loan Setup'!B8/12))))</f>
        <v>456.43</v>
      </c>
      <c r="D150" s="35">
        <f>IF(A150="",0,IF(G149&lt;=0,0,MIN(C150-E150,G149)))</f>
        <v>369.67</v>
      </c>
      <c r="E150" s="35">
        <f>IF(A150="",0,IF(G149&lt;=0,0,ROUND(G149*('Equity &amp; Loan Setup'!B8/12),2)))</f>
        <v>86.76</v>
      </c>
      <c r="F150" s="35">
        <f>IF(A150="",0,F149+C150)</f>
        <v>66638.78000000001</v>
      </c>
      <c r="G150" s="35">
        <f>IF(A150="",0,MAX(G149-D150,0))</f>
        <v>13990.8</v>
      </c>
      <c r="H150" s="35">
        <f>IF(A150="",0,H149+E150)</f>
        <v>30629.58</v>
      </c>
    </row>
    <row r="151" ht="26" customHeight="1" spans="1:8" x14ac:dyDescent="0.25">
      <c r="A151" s="30">
        <f>IF(G150&gt;0,147,"")</f>
        <v>147</v>
      </c>
      <c r="B151" s="31">
        <f>IF(A151="","",DATE(YEAR('Equity &amp; Loan Setup'!B10),MONTH('Equity &amp; Loan Setup'!B10)+146,DAY('Equity &amp; Loan Setup'!B10)))</f>
        <v>50465</v>
      </c>
      <c r="C151" s="32">
        <f>IF(A151="",0,IF(G150&lt;=0,0,MIN('Equity &amp; Loan Setup'!B20,G150*(1+'Equity &amp; Loan Setup'!B8/12))))</f>
        <v>456.43</v>
      </c>
      <c r="D151" s="32">
        <f>IF(A151="",0,IF(G150&lt;=0,0,MIN(C151-E151,G150)))</f>
        <v>371.9</v>
      </c>
      <c r="E151" s="32">
        <f>IF(A151="",0,IF(G150&lt;=0,0,ROUND(G150*('Equity &amp; Loan Setup'!B8/12),2)))</f>
        <v>84.53</v>
      </c>
      <c r="F151" s="32">
        <f>IF(A151="",0,F150+C151)</f>
        <v>67095.21</v>
      </c>
      <c r="G151" s="32">
        <f>IF(A151="",0,MAX(G150-D151,0))</f>
        <v>13618.9</v>
      </c>
      <c r="H151" s="32">
        <f>IF(A151="",0,H150+E151)</f>
        <v>30714.11</v>
      </c>
    </row>
    <row r="152" ht="26" customHeight="1" spans="1:8" x14ac:dyDescent="0.25">
      <c r="A152" s="33">
        <f>IF(G151&gt;0,148,"")</f>
        <v>148</v>
      </c>
      <c r="B152" s="34">
        <f>IF(A152="","",DATE(YEAR('Equity &amp; Loan Setup'!B10),MONTH('Equity &amp; Loan Setup'!B10)+147,DAY('Equity &amp; Loan Setup'!B10)))</f>
        <v>50496</v>
      </c>
      <c r="C152" s="35">
        <f>IF(A152="",0,IF(G151&lt;=0,0,MIN('Equity &amp; Loan Setup'!B20,G151*(1+'Equity &amp; Loan Setup'!B8/12))))</f>
        <v>456.43</v>
      </c>
      <c r="D152" s="35">
        <f>IF(A152="",0,IF(G151&lt;=0,0,MIN(C152-E152,G151)))</f>
        <v>374.15</v>
      </c>
      <c r="E152" s="35">
        <f>IF(A152="",0,IF(G151&lt;=0,0,ROUND(G151*('Equity &amp; Loan Setup'!B8/12),2)))</f>
        <v>82.28</v>
      </c>
      <c r="F152" s="35">
        <f>IF(A152="",0,F151+C152)</f>
        <v>67551.64</v>
      </c>
      <c r="G152" s="35">
        <f>IF(A152="",0,MAX(G151-D152,0))</f>
        <v>13244.75</v>
      </c>
      <c r="H152" s="35">
        <f>IF(A152="",0,H151+E152)</f>
        <v>30796.39</v>
      </c>
    </row>
    <row r="153" ht="26" customHeight="1" spans="1:8" x14ac:dyDescent="0.25">
      <c r="A153" s="30">
        <f>IF(G152&gt;0,149,"")</f>
        <v>149</v>
      </c>
      <c r="B153" s="31">
        <f>IF(A153="","",DATE(YEAR('Equity &amp; Loan Setup'!B10),MONTH('Equity &amp; Loan Setup'!B10)+148,DAY('Equity &amp; Loan Setup'!B10)))</f>
        <v>50526</v>
      </c>
      <c r="C153" s="32">
        <f>IF(A153="",0,IF(G152&lt;=0,0,MIN('Equity &amp; Loan Setup'!B20,G152*(1+'Equity &amp; Loan Setup'!B8/12))))</f>
        <v>456.43</v>
      </c>
      <c r="D153" s="32">
        <f>IF(A153="",0,IF(G152&lt;=0,0,MIN(C153-E153,G152)))</f>
        <v>376.41</v>
      </c>
      <c r="E153" s="32">
        <f>IF(A153="",0,IF(G152&lt;=0,0,ROUND(G152*('Equity &amp; Loan Setup'!B8/12),2)))</f>
        <v>80.02</v>
      </c>
      <c r="F153" s="32">
        <f>IF(A153="",0,F152+C153)</f>
        <v>68008.06999999999</v>
      </c>
      <c r="G153" s="32">
        <f>IF(A153="",0,MAX(G152-D153,0))</f>
        <v>12868.34</v>
      </c>
      <c r="H153" s="32">
        <f>IF(A153="",0,H152+E153)</f>
        <v>30876.41</v>
      </c>
    </row>
    <row r="154" ht="26" customHeight="1" spans="1:8" x14ac:dyDescent="0.25">
      <c r="A154" s="33">
        <f>IF(G153&gt;0,150,"")</f>
        <v>150</v>
      </c>
      <c r="B154" s="34">
        <f>IF(A154="","",DATE(YEAR('Equity &amp; Loan Setup'!B10),MONTH('Equity &amp; Loan Setup'!B10)+149,DAY('Equity &amp; Loan Setup'!B10)))</f>
        <v>50557</v>
      </c>
      <c r="C154" s="35">
        <f>IF(A154="",0,IF(G153&lt;=0,0,MIN('Equity &amp; Loan Setup'!B20,G153*(1+'Equity &amp; Loan Setup'!B8/12))))</f>
        <v>456.43</v>
      </c>
      <c r="D154" s="35">
        <f>IF(A154="",0,IF(G153&lt;=0,0,MIN(C154-E154,G153)))</f>
        <v>378.68</v>
      </c>
      <c r="E154" s="35">
        <f>IF(A154="",0,IF(G153&lt;=0,0,ROUND(G153*('Equity &amp; Loan Setup'!B8/12),2)))</f>
        <v>77.75</v>
      </c>
      <c r="F154" s="35">
        <f>IF(A154="",0,F153+C154)</f>
        <v>68464.49999999999</v>
      </c>
      <c r="G154" s="35">
        <f>IF(A154="",0,MAX(G153-D154,0))</f>
        <v>12489.66</v>
      </c>
      <c r="H154" s="35">
        <f>IF(A154="",0,H153+E154)</f>
        <v>30954.16</v>
      </c>
    </row>
    <row r="155" ht="26" customHeight="1" spans="1:8" x14ac:dyDescent="0.25">
      <c r="A155" s="30">
        <f>IF(G154&gt;0,151,"")</f>
        <v>151</v>
      </c>
      <c r="B155" s="31">
        <f>IF(A155="","",DATE(YEAR('Equity &amp; Loan Setup'!B10),MONTH('Equity &amp; Loan Setup'!B10)+150,DAY('Equity &amp; Loan Setup'!B10)))</f>
        <v>50587</v>
      </c>
      <c r="C155" s="32">
        <f>IF(A155="",0,IF(G154&lt;=0,0,MIN('Equity &amp; Loan Setup'!B20,G154*(1+'Equity &amp; Loan Setup'!B8/12))))</f>
        <v>456.43</v>
      </c>
      <c r="D155" s="32">
        <f>IF(A155="",0,IF(G154&lt;=0,0,MIN(C155-E155,G154)))</f>
        <v>380.97</v>
      </c>
      <c r="E155" s="32">
        <f>IF(A155="",0,IF(G154&lt;=0,0,ROUND(G154*('Equity &amp; Loan Setup'!B8/12),2)))</f>
        <v>75.46</v>
      </c>
      <c r="F155" s="32">
        <f>IF(A155="",0,F154+C155)</f>
        <v>68920.92999999998</v>
      </c>
      <c r="G155" s="32">
        <f>IF(A155="",0,MAX(G154-D155,0))</f>
        <v>12108.69</v>
      </c>
      <c r="H155" s="32">
        <f>IF(A155="",0,H154+E155)</f>
        <v>31029.62</v>
      </c>
    </row>
    <row r="156" ht="26" customHeight="1" spans="1:8" x14ac:dyDescent="0.25">
      <c r="A156" s="33">
        <f>IF(G155&gt;0,152,"")</f>
        <v>152</v>
      </c>
      <c r="B156" s="34">
        <f>IF(A156="","",DATE(YEAR('Equity &amp; Loan Setup'!B10),MONTH('Equity &amp; Loan Setup'!B10)+151,DAY('Equity &amp; Loan Setup'!B10)))</f>
        <v>50618</v>
      </c>
      <c r="C156" s="35">
        <f>IF(A156="",0,IF(G155&lt;=0,0,MIN('Equity &amp; Loan Setup'!B20,G155*(1+'Equity &amp; Loan Setup'!B8/12))))</f>
        <v>456.43</v>
      </c>
      <c r="D156" s="35">
        <f>IF(A156="",0,IF(G155&lt;=0,0,MIN(C156-E156,G155)))</f>
        <v>383.27</v>
      </c>
      <c r="E156" s="35">
        <f>IF(A156="",0,IF(G155&lt;=0,0,ROUND(G155*('Equity &amp; Loan Setup'!B8/12),2)))</f>
        <v>73.16</v>
      </c>
      <c r="F156" s="35">
        <f>IF(A156="",0,F155+C156)</f>
        <v>69377.35999999997</v>
      </c>
      <c r="G156" s="35">
        <f>IF(A156="",0,MAX(G155-D156,0))</f>
        <v>11725.42</v>
      </c>
      <c r="H156" s="35">
        <f>IF(A156="",0,H155+E156)</f>
        <v>31102.78</v>
      </c>
    </row>
    <row r="157" ht="26" customHeight="1" spans="1:8" x14ac:dyDescent="0.25">
      <c r="A157" s="30">
        <f>IF(G156&gt;0,153,"")</f>
        <v>153</v>
      </c>
      <c r="B157" s="31">
        <f>IF(A157="","",DATE(YEAR('Equity &amp; Loan Setup'!B10),MONTH('Equity &amp; Loan Setup'!B10)+152,DAY('Equity &amp; Loan Setup'!B10)))</f>
        <v>50649</v>
      </c>
      <c r="C157" s="32">
        <f>IF(A157="",0,IF(G156&lt;=0,0,MIN('Equity &amp; Loan Setup'!B20,G156*(1+'Equity &amp; Loan Setup'!B8/12))))</f>
        <v>456.43</v>
      </c>
      <c r="D157" s="32">
        <f>IF(A157="",0,IF(G156&lt;=0,0,MIN(C157-E157,G156)))</f>
        <v>385.59</v>
      </c>
      <c r="E157" s="32">
        <f>IF(A157="",0,IF(G156&lt;=0,0,ROUND(G156*('Equity &amp; Loan Setup'!B8/12),2)))</f>
        <v>70.84</v>
      </c>
      <c r="F157" s="32">
        <f>IF(A157="",0,F156+C157)</f>
        <v>69833.78999999996</v>
      </c>
      <c r="G157" s="32">
        <f>IF(A157="",0,MAX(G156-D157,0))</f>
        <v>11339.83</v>
      </c>
      <c r="H157" s="32">
        <f>IF(A157="",0,H156+E157)</f>
        <v>31173.62</v>
      </c>
    </row>
    <row r="158" ht="26" customHeight="1" spans="1:8" x14ac:dyDescent="0.25">
      <c r="A158" s="33">
        <f>IF(G157&gt;0,154,"")</f>
        <v>154</v>
      </c>
      <c r="B158" s="34">
        <f>IF(A158="","",DATE(YEAR('Equity &amp; Loan Setup'!B10),MONTH('Equity &amp; Loan Setup'!B10)+153,DAY('Equity &amp; Loan Setup'!B10)))</f>
        <v>50679</v>
      </c>
      <c r="C158" s="35">
        <f>IF(A158="",0,IF(G157&lt;=0,0,MIN('Equity &amp; Loan Setup'!B20,G157*(1+'Equity &amp; Loan Setup'!B8/12))))</f>
        <v>456.43</v>
      </c>
      <c r="D158" s="35">
        <f>IF(A158="",0,IF(G157&lt;=0,0,MIN(C158-E158,G157)))</f>
        <v>387.92</v>
      </c>
      <c r="E158" s="35">
        <f>IF(A158="",0,IF(G157&lt;=0,0,ROUND(G157*('Equity &amp; Loan Setup'!B8/12),2)))</f>
        <v>68.51</v>
      </c>
      <c r="F158" s="35">
        <f>IF(A158="",0,F157+C158)</f>
        <v>70290.21999999996</v>
      </c>
      <c r="G158" s="35">
        <f>IF(A158="",0,MAX(G157-D158,0))</f>
        <v>10951.91</v>
      </c>
      <c r="H158" s="35">
        <f>IF(A158="",0,H157+E158)</f>
        <v>31242.129999999997</v>
      </c>
    </row>
    <row r="159" ht="26" customHeight="1" spans="1:8" x14ac:dyDescent="0.25">
      <c r="A159" s="30">
        <f>IF(G158&gt;0,155,"")</f>
        <v>155</v>
      </c>
      <c r="B159" s="31">
        <f>IF(A159="","",DATE(YEAR('Equity &amp; Loan Setup'!B10),MONTH('Equity &amp; Loan Setup'!B10)+154,DAY('Equity &amp; Loan Setup'!B10)))</f>
        <v>50710</v>
      </c>
      <c r="C159" s="32">
        <f>IF(A159="",0,IF(G158&lt;=0,0,MIN('Equity &amp; Loan Setup'!B20,G158*(1+'Equity &amp; Loan Setup'!B8/12))))</f>
        <v>456.43</v>
      </c>
      <c r="D159" s="32">
        <f>IF(A159="",0,IF(G158&lt;=0,0,MIN(C159-E159,G158)))</f>
        <v>390.26</v>
      </c>
      <c r="E159" s="32">
        <f>IF(A159="",0,IF(G158&lt;=0,0,ROUND(G158*('Equity &amp; Loan Setup'!B8/12),2)))</f>
        <v>66.17</v>
      </c>
      <c r="F159" s="32">
        <f>IF(A159="",0,F158+C159)</f>
        <v>70746.64999999995</v>
      </c>
      <c r="G159" s="32">
        <f>IF(A159="",0,MAX(G158-D159,0))</f>
        <v>10561.65</v>
      </c>
      <c r="H159" s="32">
        <f>IF(A159="",0,H158+E159)</f>
        <v>31308.299999999996</v>
      </c>
    </row>
    <row r="160" ht="26" customHeight="1" spans="1:8" x14ac:dyDescent="0.25">
      <c r="A160" s="33">
        <f>IF(G159&gt;0,156,"")</f>
        <v>156</v>
      </c>
      <c r="B160" s="34">
        <f>IF(A160="","",DATE(YEAR('Equity &amp; Loan Setup'!B10),MONTH('Equity &amp; Loan Setup'!B10)+155,DAY('Equity &amp; Loan Setup'!B10)))</f>
        <v>50740</v>
      </c>
      <c r="C160" s="35">
        <f>IF(A160="",0,IF(G159&lt;=0,0,MIN('Equity &amp; Loan Setup'!B20,G159*(1+'Equity &amp; Loan Setup'!B8/12))))</f>
        <v>456.43</v>
      </c>
      <c r="D160" s="35">
        <f>IF(A160="",0,IF(G159&lt;=0,0,MIN(C160-E160,G159)))</f>
        <v>392.62</v>
      </c>
      <c r="E160" s="35">
        <f>IF(A160="",0,IF(G159&lt;=0,0,ROUND(G159*('Equity &amp; Loan Setup'!B8/12),2)))</f>
        <v>63.81</v>
      </c>
      <c r="F160" s="35">
        <f>IF(A160="",0,F159+C160)</f>
        <v>71203.07999999994</v>
      </c>
      <c r="G160" s="35">
        <f>IF(A160="",0,MAX(G159-D160,0))</f>
        <v>10169.03</v>
      </c>
      <c r="H160" s="35">
        <f>IF(A160="",0,H159+E160)</f>
        <v>31372.109999999997</v>
      </c>
    </row>
    <row r="161" ht="26" customHeight="1" spans="1:8" x14ac:dyDescent="0.25">
      <c r="A161" s="30">
        <f>IF(G160&gt;0,157,"")</f>
        <v>157</v>
      </c>
      <c r="B161" s="31">
        <f>IF(A161="","",DATE(YEAR('Equity &amp; Loan Setup'!B10),MONTH('Equity &amp; Loan Setup'!B10)+156,DAY('Equity &amp; Loan Setup'!B10)))</f>
        <v>50771</v>
      </c>
      <c r="C161" s="32">
        <f>IF(A161="",0,IF(G160&lt;=0,0,MIN('Equity &amp; Loan Setup'!B20,G160*(1+'Equity &amp; Loan Setup'!B8/12))))</f>
        <v>456.43</v>
      </c>
      <c r="D161" s="32">
        <f>IF(A161="",0,IF(G160&lt;=0,0,MIN(C161-E161,G160)))</f>
        <v>394.99</v>
      </c>
      <c r="E161" s="32">
        <f>IF(A161="",0,IF(G160&lt;=0,0,ROUND(G160*('Equity &amp; Loan Setup'!B8/12),2)))</f>
        <v>61.44</v>
      </c>
      <c r="F161" s="32">
        <f>IF(A161="",0,F160+C161)</f>
        <v>71659.50999999994</v>
      </c>
      <c r="G161" s="32">
        <f>IF(A161="",0,MAX(G160-D161,0))</f>
        <v>9774.04</v>
      </c>
      <c r="H161" s="32">
        <f>IF(A161="",0,H160+E161)</f>
        <v>31433.549999999996</v>
      </c>
    </row>
    <row r="162" ht="26" customHeight="1" spans="1:8" x14ac:dyDescent="0.25">
      <c r="A162" s="33">
        <f>IF(G161&gt;0,158,"")</f>
        <v>158</v>
      </c>
      <c r="B162" s="34">
        <f>IF(A162="","",DATE(YEAR('Equity &amp; Loan Setup'!B10),MONTH('Equity &amp; Loan Setup'!B10)+157,DAY('Equity &amp; Loan Setup'!B10)))</f>
        <v>50802</v>
      </c>
      <c r="C162" s="35">
        <f>IF(A162="",0,IF(G161&lt;=0,0,MIN('Equity &amp; Loan Setup'!B20,G161*(1+'Equity &amp; Loan Setup'!B8/12))))</f>
        <v>456.43</v>
      </c>
      <c r="D162" s="35">
        <f>IF(A162="",0,IF(G161&lt;=0,0,MIN(C162-E162,G161)))</f>
        <v>397.38</v>
      </c>
      <c r="E162" s="35">
        <f>IF(A162="",0,IF(G161&lt;=0,0,ROUND(G161*('Equity &amp; Loan Setup'!B8/12),2)))</f>
        <v>59.05</v>
      </c>
      <c r="F162" s="35">
        <f>IF(A162="",0,F161+C162)</f>
        <v>72115.93999999993</v>
      </c>
      <c r="G162" s="35">
        <f>IF(A162="",0,MAX(G161-D162,0))</f>
        <v>9376.66</v>
      </c>
      <c r="H162" s="35">
        <f>IF(A162="",0,H161+E162)</f>
        <v>31492.599999999995</v>
      </c>
    </row>
    <row r="163" ht="26" customHeight="1" spans="1:8" x14ac:dyDescent="0.25">
      <c r="A163" s="30">
        <f>IF(G162&gt;0,159,"")</f>
        <v>159</v>
      </c>
      <c r="B163" s="31">
        <f>IF(A163="","",DATE(YEAR('Equity &amp; Loan Setup'!B10),MONTH('Equity &amp; Loan Setup'!B10)+158,DAY('Equity &amp; Loan Setup'!B10)))</f>
        <v>50830</v>
      </c>
      <c r="C163" s="32">
        <f>IF(A163="",0,IF(G162&lt;=0,0,MIN('Equity &amp; Loan Setup'!B20,G162*(1+'Equity &amp; Loan Setup'!B8/12))))</f>
        <v>456.43</v>
      </c>
      <c r="D163" s="32">
        <f>IF(A163="",0,IF(G162&lt;=0,0,MIN(C163-E163,G162)))</f>
        <v>399.78</v>
      </c>
      <c r="E163" s="32">
        <f>IF(A163="",0,IF(G162&lt;=0,0,ROUND(G162*('Equity &amp; Loan Setup'!B8/12),2)))</f>
        <v>56.65</v>
      </c>
      <c r="F163" s="32">
        <f>IF(A163="",0,F162+C163)</f>
        <v>72572.36999999992</v>
      </c>
      <c r="G163" s="32">
        <f>IF(A163="",0,MAX(G162-D163,0))</f>
        <v>8976.88</v>
      </c>
      <c r="H163" s="32">
        <f>IF(A163="",0,H162+E163)</f>
        <v>31549.249999999996</v>
      </c>
    </row>
    <row r="164" ht="26" customHeight="1" spans="1:8" x14ac:dyDescent="0.25">
      <c r="A164" s="33">
        <f>IF(G163&gt;0,160,"")</f>
        <v>160</v>
      </c>
      <c r="B164" s="34">
        <f>IF(A164="","",DATE(YEAR('Equity &amp; Loan Setup'!B10),MONTH('Equity &amp; Loan Setup'!B10)+159,DAY('Equity &amp; Loan Setup'!B10)))</f>
        <v>50861</v>
      </c>
      <c r="C164" s="35">
        <f>IF(A164="",0,IF(G163&lt;=0,0,MIN('Equity &amp; Loan Setup'!B20,G163*(1+'Equity &amp; Loan Setup'!B8/12))))</f>
        <v>456.43</v>
      </c>
      <c r="D164" s="35">
        <f>IF(A164="",0,IF(G163&lt;=0,0,MIN(C164-E164,G163)))</f>
        <v>402.19</v>
      </c>
      <c r="E164" s="35">
        <f>IF(A164="",0,IF(G163&lt;=0,0,ROUND(G163*('Equity &amp; Loan Setup'!B8/12),2)))</f>
        <v>54.24</v>
      </c>
      <c r="F164" s="35">
        <f>IF(A164="",0,F163+C164)</f>
        <v>73028.79999999992</v>
      </c>
      <c r="G164" s="35">
        <f>IF(A164="",0,MAX(G163-D164,0))</f>
        <v>8574.69</v>
      </c>
      <c r="H164" s="35">
        <f>IF(A164="",0,H163+E164)</f>
        <v>31603.489999999998</v>
      </c>
    </row>
    <row r="165" ht="26" customHeight="1" spans="1:8" x14ac:dyDescent="0.25">
      <c r="A165" s="30">
        <f>IF(G164&gt;0,161,"")</f>
        <v>161</v>
      </c>
      <c r="B165" s="31">
        <f>IF(A165="","",DATE(YEAR('Equity &amp; Loan Setup'!B10),MONTH('Equity &amp; Loan Setup'!B10)+160,DAY('Equity &amp; Loan Setup'!B10)))</f>
        <v>50891</v>
      </c>
      <c r="C165" s="32">
        <f>IF(A165="",0,IF(G164&lt;=0,0,MIN('Equity &amp; Loan Setup'!B20,G164*(1+'Equity &amp; Loan Setup'!B8/12))))</f>
        <v>456.43</v>
      </c>
      <c r="D165" s="32">
        <f>IF(A165="",0,IF(G164&lt;=0,0,MIN(C165-E165,G164)))</f>
        <v>404.62</v>
      </c>
      <c r="E165" s="32">
        <f>IF(A165="",0,IF(G164&lt;=0,0,ROUND(G164*('Equity &amp; Loan Setup'!B8/12),2)))</f>
        <v>51.81</v>
      </c>
      <c r="F165" s="32">
        <f>IF(A165="",0,F164+C165)</f>
        <v>73485.22999999991</v>
      </c>
      <c r="G165" s="32">
        <f>IF(A165="",0,MAX(G164-D165,0))</f>
        <v>8170.07</v>
      </c>
      <c r="H165" s="32">
        <f>IF(A165="",0,H164+E165)</f>
        <v>31655.3</v>
      </c>
    </row>
    <row r="166" ht="26" customHeight="1" spans="1:8" x14ac:dyDescent="0.25">
      <c r="A166" s="33">
        <f>IF(G165&gt;0,162,"")</f>
        <v>162</v>
      </c>
      <c r="B166" s="34">
        <f>IF(A166="","",DATE(YEAR('Equity &amp; Loan Setup'!B10),MONTH('Equity &amp; Loan Setup'!B10)+161,DAY('Equity &amp; Loan Setup'!B10)))</f>
        <v>50922</v>
      </c>
      <c r="C166" s="35">
        <f>IF(A166="",0,IF(G165&lt;=0,0,MIN('Equity &amp; Loan Setup'!B20,G165*(1+'Equity &amp; Loan Setup'!B8/12))))</f>
        <v>456.43</v>
      </c>
      <c r="D166" s="35">
        <f>IF(A166="",0,IF(G165&lt;=0,0,MIN(C166-E166,G165)))</f>
        <v>407.07</v>
      </c>
      <c r="E166" s="35">
        <f>IF(A166="",0,IF(G165&lt;=0,0,ROUND(G165*('Equity &amp; Loan Setup'!B8/12),2)))</f>
        <v>49.36</v>
      </c>
      <c r="F166" s="35">
        <f>IF(A166="",0,F165+C166)</f>
        <v>73941.6599999999</v>
      </c>
      <c r="G166" s="35">
        <f>IF(A166="",0,MAX(G165-D166,0))</f>
        <v>7763</v>
      </c>
      <c r="H166" s="35">
        <f>IF(A166="",0,H165+E166)</f>
        <v>31704.66</v>
      </c>
    </row>
    <row r="167" ht="26" customHeight="1" spans="1:8" x14ac:dyDescent="0.25">
      <c r="A167" s="30">
        <f>IF(G166&gt;0,163,"")</f>
        <v>163</v>
      </c>
      <c r="B167" s="31">
        <f>IF(A167="","",DATE(YEAR('Equity &amp; Loan Setup'!B10),MONTH('Equity &amp; Loan Setup'!B10)+162,DAY('Equity &amp; Loan Setup'!B10)))</f>
        <v>50952</v>
      </c>
      <c r="C167" s="32">
        <f>IF(A167="",0,IF(G166&lt;=0,0,MIN('Equity &amp; Loan Setup'!B20,G166*(1+'Equity &amp; Loan Setup'!B8/12))))</f>
        <v>456.43</v>
      </c>
      <c r="D167" s="32">
        <f>IF(A167="",0,IF(G166&lt;=0,0,MIN(C167-E167,G166)))</f>
        <v>409.53</v>
      </c>
      <c r="E167" s="32">
        <f>IF(A167="",0,IF(G166&lt;=0,0,ROUND(G166*('Equity &amp; Loan Setup'!B8/12),2)))</f>
        <v>46.9</v>
      </c>
      <c r="F167" s="32">
        <f>IF(A167="",0,F166+C167)</f>
        <v>74398.0899999999</v>
      </c>
      <c r="G167" s="32">
        <f>IF(A167="",0,MAX(G166-D167,0))</f>
        <v>7353.47</v>
      </c>
      <c r="H167" s="32">
        <f>IF(A167="",0,H166+E167)</f>
        <v>31751.56</v>
      </c>
    </row>
    <row r="168" ht="26" customHeight="1" spans="1:8" x14ac:dyDescent="0.25">
      <c r="A168" s="33">
        <f>IF(G167&gt;0,164,"")</f>
        <v>164</v>
      </c>
      <c r="B168" s="34">
        <f>IF(A168="","",DATE(YEAR('Equity &amp; Loan Setup'!B10),MONTH('Equity &amp; Loan Setup'!B10)+163,DAY('Equity &amp; Loan Setup'!B10)))</f>
        <v>50983</v>
      </c>
      <c r="C168" s="35">
        <f>IF(A168="",0,IF(G167&lt;=0,0,MIN('Equity &amp; Loan Setup'!B20,G167*(1+'Equity &amp; Loan Setup'!B8/12))))</f>
        <v>456.43</v>
      </c>
      <c r="D168" s="35">
        <f>IF(A168="",0,IF(G167&lt;=0,0,MIN(C168-E168,G167)))</f>
        <v>412</v>
      </c>
      <c r="E168" s="35">
        <f>IF(A168="",0,IF(G167&lt;=0,0,ROUND(G167*('Equity &amp; Loan Setup'!B8/12),2)))</f>
        <v>44.43</v>
      </c>
      <c r="F168" s="35">
        <f>IF(A168="",0,F167+C168)</f>
        <v>74854.51999999989</v>
      </c>
      <c r="G168" s="35">
        <f>IF(A168="",0,MAX(G167-D168,0))</f>
        <v>6941.47</v>
      </c>
      <c r="H168" s="35">
        <f>IF(A168="",0,H167+E168)</f>
        <v>31795.99</v>
      </c>
    </row>
    <row r="169" ht="26" customHeight="1" spans="1:8" x14ac:dyDescent="0.25">
      <c r="A169" s="30">
        <f>IF(G168&gt;0,165,"")</f>
        <v>165</v>
      </c>
      <c r="B169" s="31">
        <f>IF(A169="","",DATE(YEAR('Equity &amp; Loan Setup'!B10),MONTH('Equity &amp; Loan Setup'!B10)+164,DAY('Equity &amp; Loan Setup'!B10)))</f>
        <v>51014</v>
      </c>
      <c r="C169" s="32">
        <f>IF(A169="",0,IF(G168&lt;=0,0,MIN('Equity &amp; Loan Setup'!B20,G168*(1+'Equity &amp; Loan Setup'!B8/12))))</f>
        <v>456.43</v>
      </c>
      <c r="D169" s="32">
        <f>IF(A169="",0,IF(G168&lt;=0,0,MIN(C169-E169,G168)))</f>
        <v>414.49</v>
      </c>
      <c r="E169" s="32">
        <f>IF(A169="",0,IF(G168&lt;=0,0,ROUND(G168*('Equity &amp; Loan Setup'!B8/12),2)))</f>
        <v>41.94</v>
      </c>
      <c r="F169" s="32">
        <f>IF(A169="",0,F168+C169)</f>
        <v>75310.94999999988</v>
      </c>
      <c r="G169" s="32">
        <f>IF(A169="",0,MAX(G168-D169,0))</f>
        <v>6526.98</v>
      </c>
      <c r="H169" s="32">
        <f>IF(A169="",0,H168+E169)</f>
        <v>31837.93</v>
      </c>
    </row>
    <row r="170" ht="26" customHeight="1" spans="1:8" x14ac:dyDescent="0.25">
      <c r="A170" s="33">
        <f>IF(G169&gt;0,166,"")</f>
        <v>166</v>
      </c>
      <c r="B170" s="34">
        <f>IF(A170="","",DATE(YEAR('Equity &amp; Loan Setup'!B10),MONTH('Equity &amp; Loan Setup'!B10)+165,DAY('Equity &amp; Loan Setup'!B10)))</f>
        <v>51044</v>
      </c>
      <c r="C170" s="35">
        <f>IF(A170="",0,IF(G169&lt;=0,0,MIN('Equity &amp; Loan Setup'!B20,G169*(1+'Equity &amp; Loan Setup'!B8/12))))</f>
        <v>456.43</v>
      </c>
      <c r="D170" s="35">
        <f>IF(A170="",0,IF(G169&lt;=0,0,MIN(C170-E170,G169)))</f>
        <v>417</v>
      </c>
      <c r="E170" s="35">
        <f>IF(A170="",0,IF(G169&lt;=0,0,ROUND(G169*('Equity &amp; Loan Setup'!B8/12),2)))</f>
        <v>39.43</v>
      </c>
      <c r="F170" s="35">
        <f>IF(A170="",0,F169+C170)</f>
        <v>75767.37999999987</v>
      </c>
      <c r="G170" s="35">
        <f>IF(A170="",0,MAX(G169-D170,0))</f>
        <v>6109.98</v>
      </c>
      <c r="H170" s="35">
        <f>IF(A170="",0,H169+E170)</f>
        <v>31877.36</v>
      </c>
    </row>
    <row r="171" ht="26" customHeight="1" spans="1:8" x14ac:dyDescent="0.25">
      <c r="A171" s="30">
        <f>IF(G170&gt;0,167,"")</f>
        <v>167</v>
      </c>
      <c r="B171" s="31">
        <f>IF(A171="","",DATE(YEAR('Equity &amp; Loan Setup'!B10),MONTH('Equity &amp; Loan Setup'!B10)+166,DAY('Equity &amp; Loan Setup'!B10)))</f>
        <v>51075</v>
      </c>
      <c r="C171" s="32">
        <f>IF(A171="",0,IF(G170&lt;=0,0,MIN('Equity &amp; Loan Setup'!B20,G170*(1+'Equity &amp; Loan Setup'!B8/12))))</f>
        <v>456.43</v>
      </c>
      <c r="D171" s="32">
        <f>IF(A171="",0,IF(G170&lt;=0,0,MIN(C171-E171,G170)))</f>
        <v>419.52</v>
      </c>
      <c r="E171" s="32">
        <f>IF(A171="",0,IF(G170&lt;=0,0,ROUND(G170*('Equity &amp; Loan Setup'!B8/12),2)))</f>
        <v>36.91</v>
      </c>
      <c r="F171" s="32">
        <f>IF(A171="",0,F170+C171)</f>
        <v>76223.80999999987</v>
      </c>
      <c r="G171" s="32">
        <f>IF(A171="",0,MAX(G170-D171,0))</f>
        <v>5690.46</v>
      </c>
      <c r="H171" s="32">
        <f>IF(A171="",0,H170+E171)</f>
        <v>31914.27</v>
      </c>
    </row>
    <row r="172" ht="26" customHeight="1" spans="1:8" x14ac:dyDescent="0.25">
      <c r="A172" s="33">
        <f>IF(G171&gt;0,168,"")</f>
        <v>168</v>
      </c>
      <c r="B172" s="34">
        <f>IF(A172="","",DATE(YEAR('Equity &amp; Loan Setup'!B10),MONTH('Equity &amp; Loan Setup'!B10)+167,DAY('Equity &amp; Loan Setup'!B10)))</f>
        <v>51105</v>
      </c>
      <c r="C172" s="35">
        <f>IF(A172="",0,IF(G171&lt;=0,0,MIN('Equity &amp; Loan Setup'!B20,G171*(1+'Equity &amp; Loan Setup'!B8/12))))</f>
        <v>456.43</v>
      </c>
      <c r="D172" s="35">
        <f>IF(A172="",0,IF(G171&lt;=0,0,MIN(C172-E172,G171)))</f>
        <v>422.05</v>
      </c>
      <c r="E172" s="35">
        <f>IF(A172="",0,IF(G171&lt;=0,0,ROUND(G171*('Equity &amp; Loan Setup'!B8/12),2)))</f>
        <v>34.38</v>
      </c>
      <c r="F172" s="35">
        <f>IF(A172="",0,F171+C172)</f>
        <v>76680.23999999986</v>
      </c>
      <c r="G172" s="35">
        <f>IF(A172="",0,MAX(G171-D172,0))</f>
        <v>5268.41</v>
      </c>
      <c r="H172" s="35">
        <f>IF(A172="",0,H171+E172)</f>
        <v>31948.65</v>
      </c>
    </row>
    <row r="173" ht="26" customHeight="1" spans="1:8" x14ac:dyDescent="0.25">
      <c r="A173" s="30">
        <f>IF(G172&gt;0,169,"")</f>
        <v>169</v>
      </c>
      <c r="B173" s="31">
        <f>IF(A173="","",DATE(YEAR('Equity &amp; Loan Setup'!B10),MONTH('Equity &amp; Loan Setup'!B10)+168,DAY('Equity &amp; Loan Setup'!B10)))</f>
        <v>51136</v>
      </c>
      <c r="C173" s="32">
        <f>IF(A173="",0,IF(G172&lt;=0,0,MIN('Equity &amp; Loan Setup'!B20,G172*(1+'Equity &amp; Loan Setup'!B8/12))))</f>
        <v>456.43</v>
      </c>
      <c r="D173" s="32">
        <f>IF(A173="",0,IF(G172&lt;=0,0,MIN(C173-E173,G172)))</f>
        <v>424.6</v>
      </c>
      <c r="E173" s="32">
        <f>IF(A173="",0,IF(G172&lt;=0,0,ROUND(G172*('Equity &amp; Loan Setup'!B8/12),2)))</f>
        <v>31.83</v>
      </c>
      <c r="F173" s="32">
        <f>IF(A173="",0,F172+C173)</f>
        <v>77136.66999999985</v>
      </c>
      <c r="G173" s="32">
        <f>IF(A173="",0,MAX(G172-D173,0))</f>
        <v>4843.81</v>
      </c>
      <c r="H173" s="32">
        <f>IF(A173="",0,H172+E173)</f>
        <v>31980.480000000003</v>
      </c>
    </row>
    <row r="174" ht="26" customHeight="1" spans="1:8" x14ac:dyDescent="0.25">
      <c r="A174" s="33">
        <f>IF(G173&gt;0,170,"")</f>
        <v>170</v>
      </c>
      <c r="B174" s="34">
        <f>IF(A174="","",DATE(YEAR('Equity &amp; Loan Setup'!B10),MONTH('Equity &amp; Loan Setup'!B10)+169,DAY('Equity &amp; Loan Setup'!B10)))</f>
        <v>51167</v>
      </c>
      <c r="C174" s="35">
        <f>IF(A174="",0,IF(G173&lt;=0,0,MIN('Equity &amp; Loan Setup'!B20,G173*(1+'Equity &amp; Loan Setup'!B8/12))))</f>
        <v>456.43</v>
      </c>
      <c r="D174" s="35">
        <f>IF(A174="",0,IF(G173&lt;=0,0,MIN(C174-E174,G173)))</f>
        <v>427.17</v>
      </c>
      <c r="E174" s="35">
        <f>IF(A174="",0,IF(G173&lt;=0,0,ROUND(G173*('Equity &amp; Loan Setup'!B8/12),2)))</f>
        <v>29.26</v>
      </c>
      <c r="F174" s="35">
        <f>IF(A174="",0,F173+C174)</f>
        <v>77593.09999999985</v>
      </c>
      <c r="G174" s="35">
        <f>IF(A174="",0,MAX(G173-D174,0))</f>
        <v>4416.64</v>
      </c>
      <c r="H174" s="35">
        <f>IF(A174="",0,H173+E174)</f>
        <v>32009.74</v>
      </c>
    </row>
    <row r="175" ht="26" customHeight="1" spans="1:8" x14ac:dyDescent="0.25">
      <c r="A175" s="30">
        <f>IF(G174&gt;0,171,"")</f>
        <v>171</v>
      </c>
      <c r="B175" s="31">
        <f>IF(A175="","",DATE(YEAR('Equity &amp; Loan Setup'!B10),MONTH('Equity &amp; Loan Setup'!B10)+170,DAY('Equity &amp; Loan Setup'!B10)))</f>
        <v>51196</v>
      </c>
      <c r="C175" s="32">
        <f>IF(A175="",0,IF(G174&lt;=0,0,MIN('Equity &amp; Loan Setup'!B20,G174*(1+'Equity &amp; Loan Setup'!B8/12))))</f>
        <v>456.43</v>
      </c>
      <c r="D175" s="32">
        <f>IF(A175="",0,IF(G174&lt;=0,0,MIN(C175-E175,G174)))</f>
        <v>429.75</v>
      </c>
      <c r="E175" s="32">
        <f>IF(A175="",0,IF(G174&lt;=0,0,ROUND(G174*('Equity &amp; Loan Setup'!B8/12),2)))</f>
        <v>26.68</v>
      </c>
      <c r="F175" s="32">
        <f>IF(A175="",0,F174+C175)</f>
        <v>78049.52999999984</v>
      </c>
      <c r="G175" s="32">
        <f>IF(A175="",0,MAX(G174-D175,0))</f>
        <v>3986.89</v>
      </c>
      <c r="H175" s="32">
        <f>IF(A175="",0,H174+E175)</f>
        <v>32036.420000000002</v>
      </c>
    </row>
    <row r="176" ht="26" customHeight="1" spans="1:8" x14ac:dyDescent="0.25">
      <c r="A176" s="33">
        <f>IF(G175&gt;0,172,"")</f>
        <v>172</v>
      </c>
      <c r="B176" s="34">
        <f>IF(A176="","",DATE(YEAR('Equity &amp; Loan Setup'!B10),MONTH('Equity &amp; Loan Setup'!B10)+171,DAY('Equity &amp; Loan Setup'!B10)))</f>
        <v>51227</v>
      </c>
      <c r="C176" s="35">
        <f>IF(A176="",0,IF(G175&lt;=0,0,MIN('Equity &amp; Loan Setup'!B20,G175*(1+'Equity &amp; Loan Setup'!B8/12))))</f>
        <v>456.43</v>
      </c>
      <c r="D176" s="35">
        <f>IF(A176="",0,IF(G175&lt;=0,0,MIN(C176-E176,G175)))</f>
        <v>432.34</v>
      </c>
      <c r="E176" s="35">
        <f>IF(A176="",0,IF(G175&lt;=0,0,ROUND(G175*('Equity &amp; Loan Setup'!B8/12),2)))</f>
        <v>24.09</v>
      </c>
      <c r="F176" s="35">
        <f>IF(A176="",0,F175+C176)</f>
        <v>78505.95999999983</v>
      </c>
      <c r="G176" s="35">
        <f>IF(A176="",0,MAX(G175-D176,0))</f>
        <v>3554.55</v>
      </c>
      <c r="H176" s="35">
        <f>IF(A176="",0,H175+E176)</f>
        <v>32060.510000000002</v>
      </c>
    </row>
    <row r="177" ht="26" customHeight="1" spans="1:8" x14ac:dyDescent="0.25">
      <c r="A177" s="30">
        <f>IF(G176&gt;0,173,"")</f>
        <v>173</v>
      </c>
      <c r="B177" s="31">
        <f>IF(A177="","",DATE(YEAR('Equity &amp; Loan Setup'!B10),MONTH('Equity &amp; Loan Setup'!B10)+172,DAY('Equity &amp; Loan Setup'!B10)))</f>
        <v>51257</v>
      </c>
      <c r="C177" s="32">
        <f>IF(A177="",0,IF(G176&lt;=0,0,MIN('Equity &amp; Loan Setup'!B20,G176*(1+'Equity &amp; Loan Setup'!B8/12))))</f>
        <v>456.43</v>
      </c>
      <c r="D177" s="32">
        <f>IF(A177="",0,IF(G176&lt;=0,0,MIN(C177-E177,G176)))</f>
        <v>434.95</v>
      </c>
      <c r="E177" s="32">
        <f>IF(A177="",0,IF(G176&lt;=0,0,ROUND(G176*('Equity &amp; Loan Setup'!B8/12),2)))</f>
        <v>21.48</v>
      </c>
      <c r="F177" s="32">
        <f>IF(A177="",0,F176+C177)</f>
        <v>78962.38999999982</v>
      </c>
      <c r="G177" s="32">
        <f>IF(A177="",0,MAX(G176-D177,0))</f>
        <v>3119.6</v>
      </c>
      <c r="H177" s="32">
        <f>IF(A177="",0,H176+E177)</f>
        <v>32081.99</v>
      </c>
    </row>
    <row r="178" ht="26" customHeight="1" spans="1:8" x14ac:dyDescent="0.25">
      <c r="A178" s="33">
        <f>IF(G177&gt;0,174,"")</f>
        <v>174</v>
      </c>
      <c r="B178" s="34">
        <f>IF(A178="","",DATE(YEAR('Equity &amp; Loan Setup'!B10),MONTH('Equity &amp; Loan Setup'!B10)+173,DAY('Equity &amp; Loan Setup'!B10)))</f>
        <v>51288</v>
      </c>
      <c r="C178" s="35">
        <f>IF(A178="",0,IF(G177&lt;=0,0,MIN('Equity &amp; Loan Setup'!B20,G177*(1+'Equity &amp; Loan Setup'!B8/12))))</f>
        <v>456.43</v>
      </c>
      <c r="D178" s="35">
        <f>IF(A178="",0,IF(G177&lt;=0,0,MIN(C178-E178,G177)))</f>
        <v>437.58</v>
      </c>
      <c r="E178" s="35">
        <f>IF(A178="",0,IF(G177&lt;=0,0,ROUND(G177*('Equity &amp; Loan Setup'!B8/12),2)))</f>
        <v>18.85</v>
      </c>
      <c r="F178" s="35">
        <f>IF(A178="",0,F177+C178)</f>
        <v>79418.81999999982</v>
      </c>
      <c r="G178" s="35">
        <f>IF(A178="",0,MAX(G177-D178,0))</f>
        <v>2682.02</v>
      </c>
      <c r="H178" s="35">
        <f>IF(A178="",0,H177+E178)</f>
        <v>32100.84</v>
      </c>
    </row>
    <row r="179" ht="26" customHeight="1" spans="1:8" x14ac:dyDescent="0.25">
      <c r="A179" s="30">
        <f>IF(G178&gt;0,175,"")</f>
        <v>175</v>
      </c>
      <c r="B179" s="31">
        <f>IF(A179="","",DATE(YEAR('Equity &amp; Loan Setup'!B10),MONTH('Equity &amp; Loan Setup'!B10)+174,DAY('Equity &amp; Loan Setup'!B10)))</f>
        <v>51318</v>
      </c>
      <c r="C179" s="32">
        <f>IF(A179="",0,IF(G178&lt;=0,0,MIN('Equity &amp; Loan Setup'!B20,G178*(1+'Equity &amp; Loan Setup'!B8/12))))</f>
        <v>456.43</v>
      </c>
      <c r="D179" s="32">
        <f>IF(A179="",0,IF(G178&lt;=0,0,MIN(C179-E179,G178)))</f>
        <v>440.23</v>
      </c>
      <c r="E179" s="32">
        <f>IF(A179="",0,IF(G178&lt;=0,0,ROUND(G178*('Equity &amp; Loan Setup'!B8/12),2)))</f>
        <v>16.2</v>
      </c>
      <c r="F179" s="32">
        <f>IF(A179="",0,F178+C179)</f>
        <v>79875.24999999981</v>
      </c>
      <c r="G179" s="32">
        <f>IF(A179="",0,MAX(G178-D179,0))</f>
        <v>2241.79</v>
      </c>
      <c r="H179" s="32">
        <f>IF(A179="",0,H178+E179)</f>
        <v>32117.04</v>
      </c>
    </row>
    <row r="180" ht="26" customHeight="1" spans="1:8" x14ac:dyDescent="0.25">
      <c r="A180" s="33">
        <f>IF(G179&gt;0,176,"")</f>
        <v>176</v>
      </c>
      <c r="B180" s="34">
        <f>IF(A180="","",DATE(YEAR('Equity &amp; Loan Setup'!B10),MONTH('Equity &amp; Loan Setup'!B10)+175,DAY('Equity &amp; Loan Setup'!B10)))</f>
        <v>51349</v>
      </c>
      <c r="C180" s="35">
        <f>IF(A180="",0,IF(G179&lt;=0,0,MIN('Equity &amp; Loan Setup'!B20,G179*(1+'Equity &amp; Loan Setup'!B8/12))))</f>
        <v>456.43</v>
      </c>
      <c r="D180" s="35">
        <f>IF(A180="",0,IF(G179&lt;=0,0,MIN(C180-E180,G179)))</f>
        <v>442.89</v>
      </c>
      <c r="E180" s="35">
        <f>IF(A180="",0,IF(G179&lt;=0,0,ROUND(G179*('Equity &amp; Loan Setup'!B8/12),2)))</f>
        <v>13.54</v>
      </c>
      <c r="F180" s="35">
        <f>IF(A180="",0,F179+C180)</f>
        <v>80331.6799999998</v>
      </c>
      <c r="G180" s="35">
        <f>IF(A180="",0,MAX(G179-D180,0))</f>
        <v>1798.9</v>
      </c>
      <c r="H180" s="35">
        <f>IF(A180="",0,H179+E180)</f>
        <v>32130.58</v>
      </c>
    </row>
    <row r="181" ht="26" customHeight="1" spans="1:8" x14ac:dyDescent="0.25">
      <c r="A181" s="30">
        <f>IF(G180&gt;0,177,"")</f>
        <v>177</v>
      </c>
      <c r="B181" s="31">
        <f>IF(A181="","",DATE(YEAR('Equity &amp; Loan Setup'!B10),MONTH('Equity &amp; Loan Setup'!B10)+176,DAY('Equity &amp; Loan Setup'!B10)))</f>
        <v>51380</v>
      </c>
      <c r="C181" s="32">
        <f>IF(A181="",0,IF(G180&lt;=0,0,MIN('Equity &amp; Loan Setup'!B20,G180*(1+'Equity &amp; Loan Setup'!B8/12))))</f>
        <v>456.43</v>
      </c>
      <c r="D181" s="32">
        <f>IF(A181="",0,IF(G180&lt;=0,0,MIN(C181-E181,G180)))</f>
        <v>445.56</v>
      </c>
      <c r="E181" s="32">
        <f>IF(A181="",0,IF(G180&lt;=0,0,ROUND(G180*('Equity &amp; Loan Setup'!B8/12),2)))</f>
        <v>10.87</v>
      </c>
      <c r="F181" s="32">
        <f>IF(A181="",0,F180+C181)</f>
        <v>80788.1099999998</v>
      </c>
      <c r="G181" s="32">
        <f>IF(A181="",0,MAX(G180-D181,0))</f>
        <v>1353.34</v>
      </c>
      <c r="H181" s="32">
        <f>IF(A181="",0,H180+E181)</f>
        <v>32141.45</v>
      </c>
    </row>
    <row r="182" ht="26" customHeight="1" spans="1:8" x14ac:dyDescent="0.25">
      <c r="A182" s="33">
        <f>IF(G181&gt;0,178,"")</f>
        <v>178</v>
      </c>
      <c r="B182" s="34">
        <f>IF(A182="","",DATE(YEAR('Equity &amp; Loan Setup'!B10),MONTH('Equity &amp; Loan Setup'!B10)+177,DAY('Equity &amp; Loan Setup'!B10)))</f>
        <v>51410</v>
      </c>
      <c r="C182" s="35">
        <f>IF(A182="",0,IF(G181&lt;=0,0,MIN('Equity &amp; Loan Setup'!B20,G181*(1+'Equity &amp; Loan Setup'!B8/12))))</f>
        <v>456.43</v>
      </c>
      <c r="D182" s="35">
        <f>IF(A182="",0,IF(G181&lt;=0,0,MIN(C182-E182,G181)))</f>
        <v>448.25</v>
      </c>
      <c r="E182" s="35">
        <f>IF(A182="",0,IF(G181&lt;=0,0,ROUND(G181*('Equity &amp; Loan Setup'!B8/12),2)))</f>
        <v>8.18</v>
      </c>
      <c r="F182" s="35">
        <f>IF(A182="",0,F181+C182)</f>
        <v>81244.53999999979</v>
      </c>
      <c r="G182" s="35">
        <f>IF(A182="",0,MAX(G181-D182,0))</f>
        <v>905.09</v>
      </c>
      <c r="H182" s="35">
        <f>IF(A182="",0,H181+E182)</f>
        <v>32149.63</v>
      </c>
    </row>
    <row r="183" ht="26" customHeight="1" spans="1:8" x14ac:dyDescent="0.25">
      <c r="A183" s="30">
        <f>IF(G182&gt;0,179,"")</f>
        <v>179</v>
      </c>
      <c r="B183" s="31">
        <f>IF(A183="","",DATE(YEAR('Equity &amp; Loan Setup'!B10),MONTH('Equity &amp; Loan Setup'!B10)+178,DAY('Equity &amp; Loan Setup'!B10)))</f>
        <v>51441</v>
      </c>
      <c r="C183" s="32">
        <f>IF(A183="",0,IF(G182&lt;=0,0,MIN('Equity &amp; Loan Setup'!B20,G182*(1+'Equity &amp; Loan Setup'!B8/12))))</f>
        <v>456.43</v>
      </c>
      <c r="D183" s="32">
        <f>IF(A183="",0,IF(G182&lt;=0,0,MIN(C183-E183,G182)))</f>
        <v>450.96</v>
      </c>
      <c r="E183" s="32">
        <f>IF(A183="",0,IF(G182&lt;=0,0,ROUND(G182*('Equity &amp; Loan Setup'!B8/12),2)))</f>
        <v>5.47</v>
      </c>
      <c r="F183" s="32">
        <f>IF(A183="",0,F182+C183)</f>
        <v>81700.96999999978</v>
      </c>
      <c r="G183" s="32">
        <f>IF(A183="",0,MAX(G182-D183,0))</f>
        <v>454.13</v>
      </c>
      <c r="H183" s="32">
        <f>IF(A183="",0,H182+E183)</f>
        <v>32155.100000000002</v>
      </c>
    </row>
    <row r="184" ht="26" customHeight="1" spans="1:8" x14ac:dyDescent="0.25">
      <c r="A184" s="33">
        <f>IF(G183&gt;0,180,"")</f>
        <v>180</v>
      </c>
      <c r="B184" s="34">
        <f>IF(A184="","",DATE(YEAR('Equity &amp; Loan Setup'!B10),MONTH('Equity &amp; Loan Setup'!B10)+179,DAY('Equity &amp; Loan Setup'!B10)))</f>
        <v>51471</v>
      </c>
      <c r="C184" s="35">
        <f>IF(A184="",0,IF(G183&lt;=0,0,MIN('Equity &amp; Loan Setup'!B20,G183*(1+'Equity &amp; Loan Setup'!B8/12))))</f>
        <v>456.43</v>
      </c>
      <c r="D184" s="35">
        <f>IF(A184="",0,IF(G183&lt;=0,0,MIN(C184-E184,G183)))</f>
        <v>453.69</v>
      </c>
      <c r="E184" s="35">
        <f>IF(A184="",0,IF(G183&lt;=0,0,ROUND(G183*('Equity &amp; Loan Setup'!B8/12),2)))</f>
        <v>2.74</v>
      </c>
      <c r="F184" s="35">
        <f>IF(A184="",0,F183+C184)</f>
        <v>82157.39999999978</v>
      </c>
      <c r="G184" s="35">
        <f>IF(A184="",0,MAX(G183-D184,0))</f>
        <v>0.44</v>
      </c>
      <c r="H184" s="35">
        <f>IF(A184="",0,H183+E184)</f>
        <v>32157.840000000004</v>
      </c>
    </row>
    <row r="185" ht="14" customHeight="1" x14ac:dyDescent="0.25"/>
    <row r="186" ht="6" customHeight="1" x14ac:dyDescent="0.25"/>
    <row r="187" ht="20" customHeight="1" spans="1:8" x14ac:dyDescent="0.25">
      <c r="A187" s="13" t="s">
        <v>16</v>
      </c>
      <c r="B187" s="13"/>
      <c r="C187" s="13"/>
      <c r="D187" s="13"/>
      <c r="E187" s="13"/>
      <c r="F187" s="13"/>
      <c r="G187" s="13"/>
      <c r="H187" s="13"/>
    </row>
    <row r="188" ht="20" customHeight="1" spans="1:8" x14ac:dyDescent="0.25">
      <c r="A188" s="14" t="s">
        <v>17</v>
      </c>
      <c r="B188" s="14"/>
      <c r="C188" s="14"/>
      <c r="D188" s="14"/>
      <c r="E188" s="14"/>
      <c r="F188" s="14"/>
      <c r="G188" s="14"/>
      <c r="H188" s="14"/>
    </row>
  </sheetData>
  <sheetProtection sheet="1"/>
  <mergeCells count="4">
    <mergeCell ref="A1:H1"/>
    <mergeCell ref="A2:H2"/>
    <mergeCell ref="A187:H187"/>
    <mergeCell ref="A188:H188"/>
  </mergeCells>
  <hyperlinks>
    <hyperlink ref="A188" r:id="rId1"/>
  </hyperlinks>
  <pageMargins left="0.5" right="0.5" top="0.5" bottom="0.5" header="0.3" footer="0.3"/>
  <pageSetup paperSize="1" orientation="landscape" fitToWidth="1" fitToHeight="0"/>
  <headerFooter>
    <oddFooter>&amp;L&amp;8FinancialAha.com&amp;C&amp;8Page &amp;P of &amp;N&amp;R&amp;8&amp;D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9A7B4F"/>
    <pageSetUpPr fitToPage="1"/>
  </sheetPr>
  <dimension ref="A1:B41"/>
  <sheetViews>
    <sheetView workbookViewId="0" showGridLines="0" zoomScale="125"/>
  </sheetViews>
  <sheetFormatPr defaultRowHeight="15" outlineLevelRow="0" outlineLevelCol="0" x14ac:dyDescent="55"/>
  <cols>
    <col min="1" max="1" width="4" customWidth="1"/>
    <col min="2" max="2" width="80" customWidth="1"/>
  </cols>
  <sheetData>
    <row r="1" ht="48" customHeight="1" spans="1:2" x14ac:dyDescent="0.25">
      <c r="A1" s="36" t="s">
        <v>68</v>
      </c>
      <c r="B1" s="36"/>
    </row>
    <row r="2" ht="24" customHeight="1" spans="1:2" x14ac:dyDescent="0.25">
      <c r="A2" s="37" t="s">
        <v>69</v>
      </c>
      <c r="B2" s="37"/>
    </row>
    <row r="3" ht="14" customHeight="1" x14ac:dyDescent="0.25"/>
    <row r="4" ht="28" customHeight="1" spans="1:2" x14ac:dyDescent="0.25">
      <c r="A4" s="38" t="s">
        <v>70</v>
      </c>
      <c r="B4" s="12"/>
    </row>
    <row r="6" ht="24" customHeight="1" spans="2:2" x14ac:dyDescent="0.25">
      <c r="B6" s="39" t="s">
        <v>71</v>
      </c>
    </row>
    <row r="7" ht="24" customHeight="1" spans="2:2" x14ac:dyDescent="0.25">
      <c r="B7" s="39" t="s">
        <v>72</v>
      </c>
    </row>
    <row r="8" ht="24" customHeight="1" spans="2:2" x14ac:dyDescent="0.25">
      <c r="B8" s="39" t="s">
        <v>73</v>
      </c>
    </row>
    <row r="9" ht="24" customHeight="1" spans="2:2" x14ac:dyDescent="0.25">
      <c r="B9" s="39" t="s">
        <v>74</v>
      </c>
    </row>
    <row r="10" ht="24" customHeight="1" spans="2:2" x14ac:dyDescent="0.25">
      <c r="B10" s="39" t="s">
        <v>75</v>
      </c>
    </row>
    <row r="11" ht="12" customHeight="1" x14ac:dyDescent="0.25"/>
    <row r="12" ht="28" customHeight="1" spans="1:2" x14ac:dyDescent="0.25">
      <c r="A12" s="38" t="s">
        <v>76</v>
      </c>
      <c r="B12" s="12"/>
    </row>
    <row r="14" ht="24" customHeight="1" spans="2:2" x14ac:dyDescent="0.25">
      <c r="B14" s="39" t="s">
        <v>77</v>
      </c>
    </row>
    <row r="15" ht="24" customHeight="1" spans="2:2" x14ac:dyDescent="0.25">
      <c r="B15" s="39" t="s">
        <v>78</v>
      </c>
    </row>
    <row r="16" ht="24" customHeight="1" spans="2:2" x14ac:dyDescent="0.25">
      <c r="B16" s="39" t="s">
        <v>79</v>
      </c>
    </row>
    <row r="17" ht="24" customHeight="1" spans="2:2" x14ac:dyDescent="0.25">
      <c r="B17" s="39" t="s">
        <v>80</v>
      </c>
    </row>
    <row r="18" ht="24" customHeight="1" spans="2:2" x14ac:dyDescent="0.25">
      <c r="B18" s="39" t="s">
        <v>81</v>
      </c>
    </row>
    <row r="19" ht="12" customHeight="1" x14ac:dyDescent="0.25"/>
    <row r="20" ht="28" customHeight="1" spans="1:2" x14ac:dyDescent="0.25">
      <c r="A20" s="38" t="s">
        <v>82</v>
      </c>
      <c r="B20" s="12"/>
    </row>
    <row r="22" ht="24" customHeight="1" spans="2:2" x14ac:dyDescent="0.25">
      <c r="B22" s="39" t="s">
        <v>83</v>
      </c>
    </row>
    <row r="23" ht="24" customHeight="1" spans="2:2" x14ac:dyDescent="0.25">
      <c r="B23" s="39" t="s">
        <v>84</v>
      </c>
    </row>
    <row r="24" ht="24" customHeight="1" spans="2:2" x14ac:dyDescent="0.25">
      <c r="B24" s="39" t="s">
        <v>85</v>
      </c>
    </row>
    <row r="25" ht="12" customHeight="1" x14ac:dyDescent="0.25"/>
    <row r="26" ht="28" customHeight="1" spans="1:2" x14ac:dyDescent="0.25">
      <c r="A26" s="38" t="s">
        <v>86</v>
      </c>
      <c r="B26" s="12"/>
    </row>
    <row r="28" ht="24" customHeight="1" spans="2:2" x14ac:dyDescent="0.25">
      <c r="B28" s="39" t="s">
        <v>87</v>
      </c>
    </row>
    <row r="29" ht="24" customHeight="1" spans="2:2" x14ac:dyDescent="0.25">
      <c r="B29" s="39" t="s">
        <v>88</v>
      </c>
    </row>
    <row r="30" ht="24" customHeight="1" spans="2:2" x14ac:dyDescent="0.25">
      <c r="B30" s="39" t="s">
        <v>89</v>
      </c>
    </row>
    <row r="31" ht="24" customHeight="1" spans="2:2" x14ac:dyDescent="0.25">
      <c r="B31" s="39" t="s">
        <v>90</v>
      </c>
    </row>
    <row r="32" ht="12" customHeight="1" x14ac:dyDescent="0.25"/>
    <row r="33" ht="28" customHeight="1" spans="1:2" x14ac:dyDescent="0.25">
      <c r="A33" s="38" t="s">
        <v>91</v>
      </c>
      <c r="B33" s="12"/>
    </row>
    <row r="35" ht="24" customHeight="1" spans="2:2" x14ac:dyDescent="0.25">
      <c r="B35" s="39" t="s">
        <v>92</v>
      </c>
    </row>
    <row r="36" ht="24" customHeight="1" spans="2:2" x14ac:dyDescent="0.25">
      <c r="B36" s="39" t="s">
        <v>93</v>
      </c>
    </row>
    <row r="37" ht="24" customHeight="1" spans="2:2" x14ac:dyDescent="0.25">
      <c r="B37" s="39" t="s">
        <v>94</v>
      </c>
    </row>
    <row r="38" ht="12" customHeight="1" x14ac:dyDescent="0.25"/>
    <row r="39" ht="6" customHeight="1" x14ac:dyDescent="0.25"/>
    <row r="40" ht="20" customHeight="1" spans="1:2" x14ac:dyDescent="0.25">
      <c r="A40" s="40" t="s">
        <v>16</v>
      </c>
      <c r="B40" s="40"/>
    </row>
    <row r="41" ht="20" customHeight="1" spans="1:2" x14ac:dyDescent="0.25">
      <c r="A41" s="41" t="s">
        <v>17</v>
      </c>
      <c r="B41" s="41"/>
    </row>
  </sheetData>
  <mergeCells count="4">
    <mergeCell ref="A1:B1"/>
    <mergeCell ref="A2:B2"/>
    <mergeCell ref="A40:B40"/>
    <mergeCell ref="A41:B41"/>
  </mergeCells>
  <hyperlinks>
    <hyperlink ref="A41" r:id="rId1"/>
  </hyperlinks>
  <pageMargins left="0.5" right="0.5" top="0.5" bottom="0.5" header="0.3" footer="0.3"/>
  <pageSetup paperSize="1" orientation="portrait" fitToWidth="1" fitToHeight="0"/>
  <headerFooter>
    <oddFooter>&amp;L&amp;8FinancialAha.com&amp;C&amp;8Page &amp;P of &amp;N&amp;R&amp;8&amp;D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Dashboard</vt:lpstr>
      <vt:lpstr>Equity &amp; Loan Setup</vt:lpstr>
      <vt:lpstr>Amortization Schedule</vt:lpstr>
      <vt:lpstr>How to Use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FinancialAha.com</dc:creator>
  <dc:title>Home Equity Loan Calculator</dc:title>
  <dc:subject>Financial Template</dc:subject>
  <dc:description>Free Home Equity Loan Calculator template by FinancialAha.com</dc:description>
  <cp:keywords>finance, template, spreadsheet, FinancialAha</cp:keywords>
  <cp:category>Finance</cp:category>
  <cp:lastModifiedBy>Unknown</cp:lastModifiedBy>
  <cp:lastPrinted>2026-04-01T18:00:44Z</cp:lastPrinted>
  <dcterms:created xsi:type="dcterms:W3CDTF">2026-04-01T18:00:44Z</dcterms:created>
  <dcterms:modified xsi:type="dcterms:W3CDTF">2026-04-01T18:00:44Z</dcterms:modified>
</cp:coreProperties>
</file>