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Setup" state="visible" r:id="rId5"/>
    <sheet sheetId="3" name="Projection Tab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<sst xmlns="http://schemas.openxmlformats.org/spreadsheetml/2006/main" count="118" uniqueCount="110">
  <si>
    <t>Compound Interest Calculator</t>
  </si>
  <si>
    <t>See how your money grows over time with compound interest</t>
  </si>
  <si>
    <t>by FinancialAha.com</t>
  </si>
  <si>
    <t>FINAL VALUE</t>
  </si>
  <si>
    <t>TOTAL CONTRIBUTED</t>
  </si>
  <si>
    <t>projected investment value</t>
  </si>
  <si>
    <t>principal + all contributions</t>
  </si>
  <si>
    <t>TOTAL INTEREST EARNED</t>
  </si>
  <si>
    <t>INTEREST / CONTRIBUTION</t>
  </si>
  <si>
    <t>the power of compounding</t>
  </si>
  <si>
    <t>interest earned per dollar contributed</t>
  </si>
  <si>
    <t>INVESTMENT GROWTH OVER TIME</t>
  </si>
  <si>
    <t>Created with FinancialAha.com - Free financial tools and templates</t>
  </si>
  <si>
    <t>Get a premium spreadsheet from FinancialAha.com</t>
  </si>
  <si>
    <t/>
  </si>
  <si>
    <t>Yr 1</t>
  </si>
  <si>
    <t>Yr 2</t>
  </si>
  <si>
    <t>Yr 3</t>
  </si>
  <si>
    <t>Yr 4</t>
  </si>
  <si>
    <t>Yr 5</t>
  </si>
  <si>
    <t>Yr 6</t>
  </si>
  <si>
    <t>Yr 7</t>
  </si>
  <si>
    <t>Yr 8</t>
  </si>
  <si>
    <t>Yr 9</t>
  </si>
  <si>
    <t>Yr 10</t>
  </si>
  <si>
    <t>Yr 11</t>
  </si>
  <si>
    <t>Yr 12</t>
  </si>
  <si>
    <t>Yr 13</t>
  </si>
  <si>
    <t>Yr 14</t>
  </si>
  <si>
    <t>Yr 15</t>
  </si>
  <si>
    <t>Yr 16</t>
  </si>
  <si>
    <t>Yr 17</t>
  </si>
  <si>
    <t>Yr 18</t>
  </si>
  <si>
    <t>Yr 19</t>
  </si>
  <si>
    <t>Yr 20</t>
  </si>
  <si>
    <t>Yr 21</t>
  </si>
  <si>
    <t>Yr 22</t>
  </si>
  <si>
    <t>Yr 23</t>
  </si>
  <si>
    <t>Yr 24</t>
  </si>
  <si>
    <t>Yr 25</t>
  </si>
  <si>
    <t>Yr 26</t>
  </si>
  <si>
    <t>Yr 27</t>
  </si>
  <si>
    <t>Yr 28</t>
  </si>
  <si>
    <t>Yr 29</t>
  </si>
  <si>
    <t>Yr 30</t>
  </si>
  <si>
    <t>Total Balance</t>
  </si>
  <si>
    <t>Total Contributed</t>
  </si>
  <si>
    <t>Compound Interest Setup</t>
  </si>
  <si>
    <t>Enter your investment details in the yellow cells below.</t>
  </si>
  <si>
    <t>YOUR INPUTS</t>
  </si>
  <si>
    <t>Starting Principal</t>
  </si>
  <si>
    <t>Initial investment amount</t>
  </si>
  <si>
    <t>Monthly Contribution</t>
  </si>
  <si>
    <t>Amount added each month</t>
  </si>
  <si>
    <t>Annual Interest Rate</t>
  </si>
  <si>
    <t>Expected annual return (e.g. 7.00%)</t>
  </si>
  <si>
    <t>Investment Period (Years)</t>
  </si>
  <si>
    <t>Number of years to invest</t>
  </si>
  <si>
    <t>Compounding Frequency (per year)</t>
  </si>
  <si>
    <t>12=Monthly, 4=Quarterly, 1=Annually</t>
  </si>
  <si>
    <t>RESULTS</t>
  </si>
  <si>
    <t>Final Value</t>
  </si>
  <si>
    <t>Total Interest Earned</t>
  </si>
  <si>
    <t>Interest / Contribution Ratio</t>
  </si>
  <si>
    <t>Projection Table</t>
  </si>
  <si>
    <t>Year-by-year compound interest projection. All values are formula-driven from the Setup sheet.</t>
  </si>
  <si>
    <t>Year</t>
  </si>
  <si>
    <t>Start Balance</t>
  </si>
  <si>
    <t>Contributions</t>
  </si>
  <si>
    <t>Interest Earned</t>
  </si>
  <si>
    <t>End Balance</t>
  </si>
  <si>
    <t>Total Interest</t>
  </si>
  <si>
    <t>How to Use This Template</t>
  </si>
  <si>
    <t>Compound Interest Calculator by FinancialAha.com</t>
  </si>
  <si>
    <t>GETTING STARTED</t>
  </si>
  <si>
    <t>1. Go to the "Setup" sheet and enter your investment details in the yellow cells.</t>
  </si>
  <si>
    <t>2. Enter your Starting Principal - the initial amount you are investing.</t>
  </si>
  <si>
    <t>3. Enter a Monthly Contribution - the amount you plan to add each month.</t>
  </si>
  <si>
    <t>4. Set the Annual Interest Rate as a percentage (e.g. 7.00% for a 7% return).</t>
  </si>
  <si>
    <t>5. Enter the Investment Period in years and the Compounding Frequency.</t>
  </si>
  <si>
    <t>6. The "Results" section updates automatically with your projected growth.</t>
  </si>
  <si>
    <t>UNDERSTANDING THE DASHBOARD</t>
  </si>
  <si>
    <t>The Dashboard provides a visual overview of your investment growth.</t>
  </si>
  <si>
    <t>Final Value shows your projected total investment value at the end of the period.</t>
  </si>
  <si>
    <t>Total Contributed shows how much of your own money went in (principal + contributions).</t>
  </si>
  <si>
    <t>Total Interest Earned shows how much compound interest generated for you.</t>
  </si>
  <si>
    <t>Interest / Contribution Ratio shows how many dollars of interest per dollar contributed.</t>
  </si>
  <si>
    <t>The chart shows your balance growing over time compared to total contributions.</t>
  </si>
  <si>
    <t>READING THE PROJECTION TABLE</t>
  </si>
  <si>
    <t>Each row represents one year of your investment.</t>
  </si>
  <si>
    <t>Start Balance is the amount at the beginning of that year.</t>
  </si>
  <si>
    <t>Contributions is the total monthly contributions for that year.</t>
  </si>
  <si>
    <t>Interest Earned is the compound interest generated during that year.</t>
  </si>
  <si>
    <t>End Balance is your total value at year-end.</t>
  </si>
  <si>
    <t>Total Contributed and Total Interest show running cumulative totals.</t>
  </si>
  <si>
    <t>COMPOUNDING FREQUENCY</t>
  </si>
  <si>
    <t>12 = Monthly compounding (most common for savings and investments).</t>
  </si>
  <si>
    <t>4 = Quarterly compounding.</t>
  </si>
  <si>
    <t>2 = Semi-annual compounding.</t>
  </si>
  <si>
    <t>1 = Annual compounding.</t>
  </si>
  <si>
    <t>More frequent compounding produces slightly higher returns.</t>
  </si>
  <si>
    <t>TIPS</t>
  </si>
  <si>
    <t>Try different scenarios by changing the rate or contribution to compare outcomes.</t>
  </si>
  <si>
    <t>Even small increases in monthly contributions can have a large impact over decades.</t>
  </si>
  <si>
    <t>The interest-to-contribution ratio shows the leverage effect of compounding over time.</t>
  </si>
  <si>
    <t>This template works for savings accounts, index funds, retirement accounts, and more.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</si>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</sst>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0x"/>
    <numFmt numFmtId="166" formatCode="$#,##0.00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10" fontId="15" fillId="2" borderId="5" xfId="0" applyNumberFormat="1" applyFont="1" applyFill="1" applyBorder="1" applyAlignment="1" applyProtection="1">
      <alignment horizontal="right" vertical="center"/>
      <protection locked="0"/>
    </xf>
    <xf numFmtId="3" fontId="15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3" borderId="6" xfId="0" applyNumberFormat="1" applyFont="1" applyFill="1" applyBorder="1" applyAlignment="1" applyProtection="1">
      <alignment horizontal="right" vertical="center"/>
    </xf>
    <xf numFmtId="2" fontId="16" fillId="3" borderId="6" xfId="0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left" vertical="center" wrapText="1" indent="1"/>
    </xf>
    <xf numFmtId="0" fontId="17" fillId="4" borderId="0" xfId="0" applyFont="1" applyFill="1" applyAlignment="1" applyProtection="1">
      <alignment horizontal="center" vertical="center" wrapText="1"/>
    </xf>
    <xf numFmtId="0" fontId="15" fillId="0" borderId="7" xfId="0" applyFont="1" applyBorder="1" applyAlignment="1" applyProtection="1">
      <alignment vertical="center" indent="1"/>
    </xf>
    <xf numFmtId="166" fontId="15" fillId="0" borderId="7" xfId="0" applyNumberFormat="1" applyFont="1" applyBorder="1" applyAlignment="1" applyProtection="1">
      <alignment horizontal="right" vertical="center"/>
    </xf>
    <xf numFmtId="0" fontId="15" fillId="5" borderId="7" xfId="0" applyFont="1" applyFill="1" applyBorder="1" applyAlignment="1" applyProtection="1">
      <alignment vertical="center" indent="1"/>
    </xf>
    <xf numFmtId="166" fontId="15" fillId="5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Investment Growth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Total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Dashboard!$C$32:$`$32</c:f>
              <c:strCache>
                <c:ptCount val="3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  <c:pt idx="10">
                  <c:v>Yr 11</c:v>
                </c:pt>
                <c:pt idx="11">
                  <c:v>Yr 12</c:v>
                </c:pt>
                <c:pt idx="12">
                  <c:v>Yr 13</c:v>
                </c:pt>
                <c:pt idx="13">
                  <c:v>Yr 14</c:v>
                </c:pt>
                <c:pt idx="14">
                  <c:v>Yr 15</c:v>
                </c:pt>
                <c:pt idx="15">
                  <c:v>Yr 16</c:v>
                </c:pt>
                <c:pt idx="16">
                  <c:v>Yr 17</c:v>
                </c:pt>
                <c:pt idx="17">
                  <c:v>Yr 18</c:v>
                </c:pt>
                <c:pt idx="18">
                  <c:v>Yr 19</c:v>
                </c:pt>
                <c:pt idx="19">
                  <c:v>Yr 20</c:v>
                </c:pt>
                <c:pt idx="20">
                  <c:v>Yr 21</c:v>
                </c:pt>
                <c:pt idx="21">
                  <c:v>Yr 22</c:v>
                </c:pt>
                <c:pt idx="22">
                  <c:v>Yr 23</c:v>
                </c:pt>
                <c:pt idx="23">
                  <c:v>Yr 24</c:v>
                </c:pt>
                <c:pt idx="24">
                  <c:v>Yr 25</c:v>
                </c:pt>
                <c:pt idx="25">
                  <c:v>Yr 26</c:v>
                </c:pt>
                <c:pt idx="26">
                  <c:v>Yr 27</c:v>
                </c:pt>
                <c:pt idx="27">
                  <c:v>Yr 28</c:v>
                </c:pt>
                <c:pt idx="28">
                  <c:v>Yr 29</c:v>
                </c:pt>
                <c:pt idx="29">
                  <c:v>Yr 30</c:v>
                </c:pt>
              </c:strCache>
            </c:strRef>
          </c:cat>
          <c:val>
            <c:numRef>
              <c:f>Dashboard!$C$33:$`$33</c:f>
              <c:numCache>
                <c:formatCode>$#,##0</c:formatCode>
                <c:ptCount val="30"/>
                <c:pt idx="0">
                  <c:v>16919.19</c:v>
                </c:pt>
                <c:pt idx="1">
                  <c:v>24338.58</c:v>
                </c:pt>
                <c:pt idx="2">
                  <c:v>32294.31</c:v>
                </c:pt>
                <c:pt idx="3">
                  <c:v>40825.16</c:v>
                </c:pt>
                <c:pt idx="4">
                  <c:v>49972.7</c:v>
                </c:pt>
                <c:pt idx="5">
                  <c:v>59781.53</c:v>
                </c:pt>
                <c:pt idx="6">
                  <c:v>70299.43</c:v>
                </c:pt>
                <c:pt idx="7">
                  <c:v>81577.68</c:v>
                </c:pt>
                <c:pt idx="8">
                  <c:v>93671.22</c:v>
                </c:pt>
                <c:pt idx="9">
                  <c:v>106639.02</c:v>
                </c:pt>
                <c:pt idx="10">
                  <c:v>120544.25</c:v>
                </c:pt>
                <c:pt idx="11">
                  <c:v>135454.7</c:v>
                </c:pt>
                <c:pt idx="12">
                  <c:v>151443.02</c:v>
                </c:pt>
                <c:pt idx="13">
                  <c:v>168587.14</c:v>
                </c:pt>
                <c:pt idx="14">
                  <c:v>186970.62</c:v>
                </c:pt>
                <c:pt idx="15">
                  <c:v>206683.03</c:v>
                </c:pt>
                <c:pt idx="16">
                  <c:v>227820.45</c:v>
                </c:pt>
                <c:pt idx="17">
                  <c:v>250485.91</c:v>
                </c:pt>
                <c:pt idx="18">
                  <c:v>274789.85</c:v>
                </c:pt>
                <c:pt idx="19">
                  <c:v>300850.72</c:v>
                </c:pt>
                <c:pt idx="20">
                  <c:v>328795.53</c:v>
                </c:pt>
                <c:pt idx="21">
                  <c:v>358760.48</c:v>
                </c:pt>
                <c:pt idx="22">
                  <c:v>390891.6</c:v>
                </c:pt>
                <c:pt idx="23">
                  <c:v>425345.48</c:v>
                </c:pt>
                <c:pt idx="24">
                  <c:v>462290.03</c:v>
                </c:pt>
                <c:pt idx="25">
                  <c:v>501905.3</c:v>
                </c:pt>
                <c:pt idx="26">
                  <c:v>544384.37</c:v>
                </c:pt>
                <c:pt idx="27">
                  <c:v>589934.26</c:v>
                </c:pt>
                <c:pt idx="28">
                  <c:v>638776.94</c:v>
                </c:pt>
                <c:pt idx="29">
                  <c:v>691150.47</c:v>
                </c:pt>
              </c:numCache>
            </c:numRef>
          </c:val>
        </c:ser>
        <c:ser>
          <c:idx val="1"/>
          <c:order val="1"/>
          <c:tx>
            <c:strRef>
              <c:f>Dashboard!$B$34</c:f>
              <c:strCache>
                <c:ptCount val="1"/>
                <c:pt idx="0">
                  <c:v>Total Contributed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Dashboard!$C$32:$`$32</c:f>
              <c:strCache>
                <c:ptCount val="3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  <c:pt idx="10">
                  <c:v>Yr 11</c:v>
                </c:pt>
                <c:pt idx="11">
                  <c:v>Yr 12</c:v>
                </c:pt>
                <c:pt idx="12">
                  <c:v>Yr 13</c:v>
                </c:pt>
                <c:pt idx="13">
                  <c:v>Yr 14</c:v>
                </c:pt>
                <c:pt idx="14">
                  <c:v>Yr 15</c:v>
                </c:pt>
                <c:pt idx="15">
                  <c:v>Yr 16</c:v>
                </c:pt>
                <c:pt idx="16">
                  <c:v>Yr 17</c:v>
                </c:pt>
                <c:pt idx="17">
                  <c:v>Yr 18</c:v>
                </c:pt>
                <c:pt idx="18">
                  <c:v>Yr 19</c:v>
                </c:pt>
                <c:pt idx="19">
                  <c:v>Yr 20</c:v>
                </c:pt>
                <c:pt idx="20">
                  <c:v>Yr 21</c:v>
                </c:pt>
                <c:pt idx="21">
                  <c:v>Yr 22</c:v>
                </c:pt>
                <c:pt idx="22">
                  <c:v>Yr 23</c:v>
                </c:pt>
                <c:pt idx="23">
                  <c:v>Yr 24</c:v>
                </c:pt>
                <c:pt idx="24">
                  <c:v>Yr 25</c:v>
                </c:pt>
                <c:pt idx="25">
                  <c:v>Yr 26</c:v>
                </c:pt>
                <c:pt idx="26">
                  <c:v>Yr 27</c:v>
                </c:pt>
                <c:pt idx="27">
                  <c:v>Yr 28</c:v>
                </c:pt>
                <c:pt idx="28">
                  <c:v>Yr 29</c:v>
                </c:pt>
                <c:pt idx="29">
                  <c:v>Yr 30</c:v>
                </c:pt>
              </c:strCache>
            </c:strRef>
          </c:cat>
          <c:val>
            <c:numRef>
              <c:f>Dashboard!$C$34:$`$34</c:f>
              <c:numCache>
                <c:formatCode>$#,##0</c:formatCode>
                <c:ptCount val="30"/>
                <c:pt idx="0">
                  <c:v>16000</c:v>
                </c:pt>
                <c:pt idx="1">
                  <c:v>22000</c:v>
                </c:pt>
                <c:pt idx="2">
                  <c:v>28000</c:v>
                </c:pt>
                <c:pt idx="3">
                  <c:v>34000</c:v>
                </c:pt>
                <c:pt idx="4">
                  <c:v>40000</c:v>
                </c:pt>
                <c:pt idx="5">
                  <c:v>46000</c:v>
                </c:pt>
                <c:pt idx="6">
                  <c:v>52000</c:v>
                </c:pt>
                <c:pt idx="7">
                  <c:v>58000</c:v>
                </c:pt>
                <c:pt idx="8">
                  <c:v>64000</c:v>
                </c:pt>
                <c:pt idx="9">
                  <c:v>70000</c:v>
                </c:pt>
                <c:pt idx="10">
                  <c:v>76000</c:v>
                </c:pt>
                <c:pt idx="11">
                  <c:v>82000</c:v>
                </c:pt>
                <c:pt idx="12">
                  <c:v>88000</c:v>
                </c:pt>
                <c:pt idx="13">
                  <c:v>94000</c:v>
                </c:pt>
                <c:pt idx="14">
                  <c:v>100000</c:v>
                </c:pt>
                <c:pt idx="15">
                  <c:v>106000</c:v>
                </c:pt>
                <c:pt idx="16">
                  <c:v>112000</c:v>
                </c:pt>
                <c:pt idx="17">
                  <c:v>118000</c:v>
                </c:pt>
                <c:pt idx="18">
                  <c:v>124000</c:v>
                </c:pt>
                <c:pt idx="19">
                  <c:v>130000</c:v>
                </c:pt>
                <c:pt idx="20">
                  <c:v>136000</c:v>
                </c:pt>
                <c:pt idx="21">
                  <c:v>142000</c:v>
                </c:pt>
                <c:pt idx="22">
                  <c:v>148000</c:v>
                </c:pt>
                <c:pt idx="23">
                  <c:v>154000</c:v>
                </c:pt>
                <c:pt idx="24">
                  <c:v>160000</c:v>
                </c:pt>
                <c:pt idx="25">
                  <c:v>166000</c:v>
                </c:pt>
                <c:pt idx="26">
                  <c:v>172000</c:v>
                </c:pt>
                <c:pt idx="27">
                  <c:v>178000</c:v>
                </c:pt>
                <c:pt idx="28">
                  <c:v>184000</c:v>
                </c:pt>
                <c:pt idx="29">
                  <c:v>190000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AF3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8" x14ac:dyDescent="0.25">
      <c r="B4" s="4" t="s">
        <v>3</v>
      </c>
      <c r="C4" s="4"/>
      <c r="D4" s="4"/>
      <c r="F4" s="4" t="s">
        <v>4</v>
      </c>
      <c r="G4" s="4"/>
      <c r="H4" s="4"/>
    </row>
    <row r="5" ht="48" customHeight="1" spans="2:8" x14ac:dyDescent="0.25">
      <c r="B5" s="5">
        <f>'Setup'!C12</f>
        <v>691150.47</v>
      </c>
      <c r="C5" s="5"/>
      <c r="D5" s="5"/>
      <c r="F5" s="6">
        <f>'Setup'!C13</f>
        <v>190000</v>
      </c>
      <c r="G5" s="6"/>
      <c r="H5" s="6"/>
    </row>
    <row r="6" ht="20" customHeight="1" spans="2:8" x14ac:dyDescent="0.25">
      <c r="B6" s="7" t="s">
        <v>5</v>
      </c>
      <c r="C6" s="7"/>
      <c r="D6" s="7"/>
      <c r="F6" s="7" t="s">
        <v>6</v>
      </c>
      <c r="G6" s="7"/>
      <c r="H6" s="7"/>
    </row>
    <row r="7" ht="8" customHeight="1" x14ac:dyDescent="0.25"/>
    <row r="8" ht="22" customHeight="1" spans="2:8" x14ac:dyDescent="0.25">
      <c r="B8" s="4" t="s">
        <v>7</v>
      </c>
      <c r="C8" s="4"/>
      <c r="D8" s="4"/>
      <c r="F8" s="4" t="s">
        <v>8</v>
      </c>
      <c r="G8" s="4"/>
      <c r="H8" s="4"/>
    </row>
    <row r="9" ht="48" customHeight="1" spans="2:8" x14ac:dyDescent="0.25">
      <c r="B9" s="5">
        <f>'Setup'!C14</f>
        <v>501150.47</v>
      </c>
      <c r="C9" s="5"/>
      <c r="D9" s="5"/>
      <c r="F9" s="8">
        <f>'Setup'!C15</f>
        <v>2.64</v>
      </c>
      <c r="G9" s="8"/>
      <c r="H9" s="8"/>
    </row>
    <row r="10" ht="20" customHeight="1" spans="2:8" x14ac:dyDescent="0.25">
      <c r="B10" s="7" t="s">
        <v>9</v>
      </c>
      <c r="C10" s="7"/>
      <c r="D10" s="7"/>
      <c r="F10" s="7" t="s">
        <v>10</v>
      </c>
      <c r="G10" s="7"/>
      <c r="H10" s="7"/>
    </row>
    <row r="11" ht="14" customHeight="1" x14ac:dyDescent="0.25"/>
    <row r="12" ht="28" customHeight="1" spans="2:9" x14ac:dyDescent="0.25">
      <c r="B12" s="9" t="s">
        <v>11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1" t="s">
        <v>12</v>
      </c>
      <c r="B30" s="11"/>
      <c r="C30" s="11"/>
      <c r="D30" s="11"/>
      <c r="E30" s="11"/>
      <c r="F30" s="11"/>
      <c r="G30" s="11"/>
      <c r="H30" s="11"/>
      <c r="I30" s="11"/>
    </row>
    <row r="31" ht="20" customHeight="1" spans="1:9" x14ac:dyDescent="0.25">
      <c r="A31" s="12" t="s">
        <v>13</v>
      </c>
      <c r="B31" s="12"/>
      <c r="C31" s="12"/>
      <c r="D31" s="12"/>
      <c r="E31" s="12"/>
      <c r="F31" s="12"/>
      <c r="G31" s="12"/>
      <c r="H31" s="12"/>
      <c r="I31" s="12"/>
    </row>
    <row r="32" ht="1" customHeight="1" spans="2:32" x14ac:dyDescent="0.25">
      <c r="B32" s="13" t="s">
        <v>14</v>
      </c>
      <c r="C32" s="13" t="s">
        <v>15</v>
      </c>
      <c r="D32" s="13" t="s">
        <v>16</v>
      </c>
      <c r="E32" s="13" t="s">
        <v>17</v>
      </c>
      <c r="F32" s="13" t="s">
        <v>18</v>
      </c>
      <c r="G32" s="13" t="s">
        <v>19</v>
      </c>
      <c r="H32" s="13" t="s">
        <v>20</v>
      </c>
      <c r="I32" s="13" t="s">
        <v>21</v>
      </c>
      <c r="J32" s="13" t="s">
        <v>22</v>
      </c>
      <c r="K32" s="13" t="s">
        <v>23</v>
      </c>
      <c r="L32" s="13" t="s">
        <v>24</v>
      </c>
      <c r="M32" s="13" t="s">
        <v>25</v>
      </c>
      <c r="N32" s="13" t="s">
        <v>26</v>
      </c>
      <c r="O32" s="13" t="s">
        <v>27</v>
      </c>
      <c r="P32" s="13" t="s">
        <v>28</v>
      </c>
      <c r="Q32" s="13" t="s">
        <v>29</v>
      </c>
      <c r="R32" s="13" t="s">
        <v>30</v>
      </c>
      <c r="S32" s="13" t="s">
        <v>31</v>
      </c>
      <c r="T32" s="13" t="s">
        <v>32</v>
      </c>
      <c r="U32" s="13" t="s">
        <v>33</v>
      </c>
      <c r="V32" s="13" t="s">
        <v>34</v>
      </c>
      <c r="W32" s="13" t="s">
        <v>35</v>
      </c>
      <c r="X32" s="13" t="s">
        <v>36</v>
      </c>
      <c r="Y32" s="13" t="s">
        <v>37</v>
      </c>
      <c r="Z32" s="13" t="s">
        <v>38</v>
      </c>
      <c r="AA32" s="13" t="s">
        <v>39</v>
      </c>
      <c r="AB32" s="13" t="s">
        <v>40</v>
      </c>
      <c r="AC32" s="13" t="s">
        <v>41</v>
      </c>
      <c r="AD32" s="13" t="s">
        <v>42</v>
      </c>
      <c r="AE32" s="13" t="s">
        <v>43</v>
      </c>
      <c r="AF32" s="13" t="s">
        <v>44</v>
      </c>
    </row>
    <row r="33" ht="1" customHeight="1" spans="2:32" x14ac:dyDescent="0.25">
      <c r="B33" s="13" t="s">
        <v>45</v>
      </c>
      <c r="C33" s="13">
        <f>IFERROR('Projection Table'!E5,0)</f>
        <v>16919.19</v>
      </c>
      <c r="D33" s="13">
        <f>IFERROR('Projection Table'!E6,0)</f>
        <v>24338.58</v>
      </c>
      <c r="E33" s="13">
        <f>IFERROR('Projection Table'!E7,0)</f>
        <v>32294.31</v>
      </c>
      <c r="F33" s="13">
        <f>IFERROR('Projection Table'!E8,0)</f>
        <v>40825.16</v>
      </c>
      <c r="G33" s="13">
        <f>IFERROR('Projection Table'!E9,0)</f>
        <v>49972.7</v>
      </c>
      <c r="H33" s="13">
        <f>IFERROR('Projection Table'!E10,0)</f>
        <v>59781.53</v>
      </c>
      <c r="I33" s="13">
        <f>IFERROR('Projection Table'!E11,0)</f>
        <v>70299.43</v>
      </c>
      <c r="J33" s="13">
        <f>IFERROR('Projection Table'!E12,0)</f>
        <v>81577.68</v>
      </c>
      <c r="K33" s="13">
        <f>IFERROR('Projection Table'!E13,0)</f>
        <v>93671.22</v>
      </c>
      <c r="L33" s="13">
        <f>IFERROR('Projection Table'!E14,0)</f>
        <v>106639.02</v>
      </c>
      <c r="M33" s="13">
        <f>IFERROR('Projection Table'!E15,0)</f>
        <v>120544.25</v>
      </c>
      <c r="N33" s="13">
        <f>IFERROR('Projection Table'!E16,0)</f>
        <v>135454.7</v>
      </c>
      <c r="O33" s="13">
        <f>IFERROR('Projection Table'!E17,0)</f>
        <v>151443.02</v>
      </c>
      <c r="P33" s="13">
        <f>IFERROR('Projection Table'!E18,0)</f>
        <v>168587.14</v>
      </c>
      <c r="Q33" s="13">
        <f>IFERROR('Projection Table'!E19,0)</f>
        <v>186970.62</v>
      </c>
      <c r="R33" s="13">
        <f>IFERROR('Projection Table'!E20,0)</f>
        <v>206683.03</v>
      </c>
      <c r="S33" s="13">
        <f>IFERROR('Projection Table'!E21,0)</f>
        <v>227820.45</v>
      </c>
      <c r="T33" s="13">
        <f>IFERROR('Projection Table'!E22,0)</f>
        <v>250485.91</v>
      </c>
      <c r="U33" s="13">
        <f>IFERROR('Projection Table'!E23,0)</f>
        <v>274789.85</v>
      </c>
      <c r="V33" s="13">
        <f>IFERROR('Projection Table'!E24,0)</f>
        <v>300850.72</v>
      </c>
      <c r="W33" s="13">
        <f>IFERROR('Projection Table'!E25,0)</f>
        <v>328795.53</v>
      </c>
      <c r="X33" s="13">
        <f>IFERROR('Projection Table'!E26,0)</f>
        <v>358760.48</v>
      </c>
      <c r="Y33" s="13">
        <f>IFERROR('Projection Table'!E27,0)</f>
        <v>390891.6</v>
      </c>
      <c r="Z33" s="13">
        <f>IFERROR('Projection Table'!E28,0)</f>
        <v>425345.48</v>
      </c>
      <c r="AA33" s="13">
        <f>IFERROR('Projection Table'!E29,0)</f>
        <v>462290.03</v>
      </c>
      <c r="AB33" s="13">
        <f>IFERROR('Projection Table'!E30,0)</f>
        <v>501905.3</v>
      </c>
      <c r="AC33" s="13">
        <f>IFERROR('Projection Table'!E31,0)</f>
        <v>544384.37</v>
      </c>
      <c r="AD33" s="13">
        <f>IFERROR('Projection Table'!E32,0)</f>
        <v>589934.26</v>
      </c>
      <c r="AE33" s="13">
        <f>IFERROR('Projection Table'!E33,0)</f>
        <v>638776.94</v>
      </c>
      <c r="AF33" s="13">
        <f>IFERROR('Projection Table'!E34,0)</f>
        <v>691150.47</v>
      </c>
    </row>
    <row r="34" ht="1" customHeight="1" spans="2:32" x14ac:dyDescent="0.25">
      <c r="B34" s="13" t="s">
        <v>46</v>
      </c>
      <c r="C34" s="13">
        <f>IFERROR('Projection Table'!F5,0)</f>
        <v>16000</v>
      </c>
      <c r="D34" s="13">
        <f>IFERROR('Projection Table'!F6,0)</f>
        <v>22000</v>
      </c>
      <c r="E34" s="13">
        <f>IFERROR('Projection Table'!F7,0)</f>
        <v>28000</v>
      </c>
      <c r="F34" s="13">
        <f>IFERROR('Projection Table'!F8,0)</f>
        <v>34000</v>
      </c>
      <c r="G34" s="13">
        <f>IFERROR('Projection Table'!F9,0)</f>
        <v>40000</v>
      </c>
      <c r="H34" s="13">
        <f>IFERROR('Projection Table'!F10,0)</f>
        <v>46000</v>
      </c>
      <c r="I34" s="13">
        <f>IFERROR('Projection Table'!F11,0)</f>
        <v>52000</v>
      </c>
      <c r="J34" s="13">
        <f>IFERROR('Projection Table'!F12,0)</f>
        <v>58000</v>
      </c>
      <c r="K34" s="13">
        <f>IFERROR('Projection Table'!F13,0)</f>
        <v>64000</v>
      </c>
      <c r="L34" s="13">
        <f>IFERROR('Projection Table'!F14,0)</f>
        <v>70000</v>
      </c>
      <c r="M34" s="13">
        <f>IFERROR('Projection Table'!F15,0)</f>
        <v>76000</v>
      </c>
      <c r="N34" s="13">
        <f>IFERROR('Projection Table'!F16,0)</f>
        <v>82000</v>
      </c>
      <c r="O34" s="13">
        <f>IFERROR('Projection Table'!F17,0)</f>
        <v>88000</v>
      </c>
      <c r="P34" s="13">
        <f>IFERROR('Projection Table'!F18,0)</f>
        <v>94000</v>
      </c>
      <c r="Q34" s="13">
        <f>IFERROR('Projection Table'!F19,0)</f>
        <v>100000</v>
      </c>
      <c r="R34" s="13">
        <f>IFERROR('Projection Table'!F20,0)</f>
        <v>106000</v>
      </c>
      <c r="S34" s="13">
        <f>IFERROR('Projection Table'!F21,0)</f>
        <v>112000</v>
      </c>
      <c r="T34" s="13">
        <f>IFERROR('Projection Table'!F22,0)</f>
        <v>118000</v>
      </c>
      <c r="U34" s="13">
        <f>IFERROR('Projection Table'!F23,0)</f>
        <v>124000</v>
      </c>
      <c r="V34" s="13">
        <f>IFERROR('Projection Table'!F24,0)</f>
        <v>130000</v>
      </c>
      <c r="W34" s="13">
        <f>IFERROR('Projection Table'!F25,0)</f>
        <v>136000</v>
      </c>
      <c r="X34" s="13">
        <f>IFERROR('Projection Table'!F26,0)</f>
        <v>142000</v>
      </c>
      <c r="Y34" s="13">
        <f>IFERROR('Projection Table'!F27,0)</f>
        <v>148000</v>
      </c>
      <c r="Z34" s="13">
        <f>IFERROR('Projection Table'!F28,0)</f>
        <v>154000</v>
      </c>
      <c r="AA34" s="13">
        <f>IFERROR('Projection Table'!F29,0)</f>
        <v>160000</v>
      </c>
      <c r="AB34" s="13">
        <f>IFERROR('Projection Table'!F30,0)</f>
        <v>166000</v>
      </c>
      <c r="AC34" s="13">
        <f>IFERROR('Projection Table'!F31,0)</f>
        <v>172000</v>
      </c>
      <c r="AD34" s="13">
        <f>IFERROR('Projection Table'!F32,0)</f>
        <v>178000</v>
      </c>
      <c r="AE34" s="13">
        <f>IFERROR('Projection Table'!F33,0)</f>
        <v>184000</v>
      </c>
      <c r="AF34" s="13">
        <f>IFERROR('Projection Table'!F34,0)</f>
        <v>190000</v>
      </c>
    </row>
  </sheetData>
  <sheetProtection sheet="1"/>
  <mergeCells count="17">
    <mergeCell ref="B1:I1"/>
    <mergeCell ref="B2:F2"/>
    <mergeCell ref="G2:I2"/>
    <mergeCell ref="B4:D4"/>
    <mergeCell ref="F4:H4"/>
    <mergeCell ref="B5:D5"/>
    <mergeCell ref="F5:H5"/>
    <mergeCell ref="B6:D6"/>
    <mergeCell ref="F6:H6"/>
    <mergeCell ref="B8:D8"/>
    <mergeCell ref="F8:H8"/>
    <mergeCell ref="B9:D9"/>
    <mergeCell ref="F9:H9"/>
    <mergeCell ref="B10:D10"/>
    <mergeCell ref="F10:H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19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4" t="s">
        <v>47</v>
      </c>
      <c r="B1" s="14"/>
      <c r="C1" s="14"/>
      <c r="D1" s="14"/>
    </row>
    <row r="2" ht="24" customHeight="1" spans="1:4" x14ac:dyDescent="0.25">
      <c r="A2" s="15" t="s">
        <v>48</v>
      </c>
      <c r="B2" s="15"/>
      <c r="C2" s="15"/>
      <c r="D2" s="15"/>
    </row>
    <row r="3" ht="14" customHeight="1" x14ac:dyDescent="0.25"/>
    <row r="4" ht="28" customHeight="1" spans="1:4" x14ac:dyDescent="0.25">
      <c r="A4" s="9" t="s">
        <v>49</v>
      </c>
      <c r="B4" s="10"/>
      <c r="C4" s="10"/>
      <c r="D4" s="10"/>
    </row>
    <row r="5" ht="26" customHeight="1" spans="1:4" x14ac:dyDescent="0.25">
      <c r="A5" s="16" t="s">
        <v>50</v>
      </c>
      <c r="C5" s="17">
        <v>10000</v>
      </c>
      <c r="D5" s="15" t="s">
        <v>51</v>
      </c>
    </row>
    <row r="6" ht="26" customHeight="1" spans="1:4" x14ac:dyDescent="0.25">
      <c r="A6" s="16" t="s">
        <v>52</v>
      </c>
      <c r="C6" s="17">
        <v>500</v>
      </c>
      <c r="D6" s="15" t="s">
        <v>53</v>
      </c>
    </row>
    <row r="7" ht="26" customHeight="1" spans="1:4" x14ac:dyDescent="0.25">
      <c r="A7" s="16" t="s">
        <v>54</v>
      </c>
      <c r="C7" s="18">
        <v>0.07</v>
      </c>
      <c r="D7" s="15" t="s">
        <v>55</v>
      </c>
    </row>
    <row r="8" ht="26" customHeight="1" spans="1:4" x14ac:dyDescent="0.25">
      <c r="A8" s="16" t="s">
        <v>56</v>
      </c>
      <c r="C8" s="19">
        <v>30</v>
      </c>
      <c r="D8" s="15" t="s">
        <v>57</v>
      </c>
    </row>
    <row r="9" ht="26" customHeight="1" spans="1:4" x14ac:dyDescent="0.25">
      <c r="A9" s="16" t="s">
        <v>58</v>
      </c>
      <c r="C9" s="19">
        <v>12</v>
      </c>
      <c r="D9" s="15" t="s">
        <v>59</v>
      </c>
    </row>
    <row r="10" ht="14" customHeight="1" x14ac:dyDescent="0.25"/>
    <row r="11" ht="28" customHeight="1" spans="1:4" x14ac:dyDescent="0.25">
      <c r="A11" s="9" t="s">
        <v>60</v>
      </c>
      <c r="B11" s="10"/>
      <c r="C11" s="10"/>
      <c r="D11" s="10"/>
    </row>
    <row r="12" ht="26" customHeight="1" spans="1:3" x14ac:dyDescent="0.25">
      <c r="A12" s="16" t="s">
        <v>61</v>
      </c>
      <c r="C12" s="20">
        <f>IFERROR(INDEX('Projection Table'!E:E,5+C8-1),0)</f>
        <v>691150.47</v>
      </c>
    </row>
    <row r="13" ht="26" customHeight="1" spans="1:3" x14ac:dyDescent="0.25">
      <c r="A13" s="16" t="s">
        <v>46</v>
      </c>
      <c r="C13" s="20">
        <f>C5+C6*12*C8</f>
        <v>190000</v>
      </c>
    </row>
    <row r="14" ht="26" customHeight="1" spans="1:3" x14ac:dyDescent="0.25">
      <c r="A14" s="16" t="s">
        <v>62</v>
      </c>
      <c r="C14" s="20">
        <f>C12-C13</f>
        <v>501150.47</v>
      </c>
    </row>
    <row r="15" ht="26" customHeight="1" spans="1:3" x14ac:dyDescent="0.25">
      <c r="A15" s="16" t="s">
        <v>63</v>
      </c>
      <c r="C15" s="21">
        <f>IF(C13=0,0,ROUND(C14/C13,2))</f>
        <v>2.64</v>
      </c>
    </row>
    <row r="16" ht="14" customHeight="1" x14ac:dyDescent="0.25"/>
    <row r="17" ht="6" customHeight="1" x14ac:dyDescent="0.25"/>
    <row r="18" ht="20" customHeight="1" spans="1:4" x14ac:dyDescent="0.25">
      <c r="A18" s="11" t="s">
        <v>12</v>
      </c>
      <c r="B18" s="11"/>
      <c r="C18" s="11"/>
      <c r="D18" s="11"/>
    </row>
    <row r="19" ht="20" customHeight="1" spans="1:4" x14ac:dyDescent="0.25">
      <c r="A19" s="12" t="s">
        <v>13</v>
      </c>
      <c r="B19" s="12"/>
      <c r="C19" s="12"/>
      <c r="D19" s="12"/>
    </row>
  </sheetData>
  <sheetProtection sheet="1"/>
  <mergeCells count="4">
    <mergeCell ref="A1:D1"/>
    <mergeCell ref="A2:D2"/>
    <mergeCell ref="A18:D18"/>
    <mergeCell ref="A19:D19"/>
  </mergeCells>
  <hyperlinks>
    <hyperlink ref="A1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3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7" width="16" customWidth="1"/>
  </cols>
  <sheetData>
    <row r="1" ht="48" customHeight="1" spans="1:7" x14ac:dyDescent="0.25">
      <c r="A1" s="14" t="s">
        <v>64</v>
      </c>
      <c r="B1" s="14"/>
      <c r="C1" s="14"/>
      <c r="D1" s="14"/>
      <c r="E1" s="14"/>
      <c r="F1" s="14"/>
      <c r="G1" s="14"/>
    </row>
    <row r="2" ht="24" customHeight="1" spans="1:7" x14ac:dyDescent="0.25">
      <c r="A2" s="15" t="s">
        <v>65</v>
      </c>
      <c r="B2" s="15"/>
      <c r="C2" s="15"/>
      <c r="D2" s="15"/>
      <c r="E2" s="15"/>
      <c r="F2" s="15"/>
      <c r="G2" s="15"/>
    </row>
    <row r="3" ht="14" customHeight="1" x14ac:dyDescent="0.25"/>
    <row r="4" ht="32" customHeight="1" spans="1:7" x14ac:dyDescent="0.25">
      <c r="A4" s="22" t="s">
        <v>66</v>
      </c>
      <c r="B4" s="23" t="s">
        <v>67</v>
      </c>
      <c r="C4" s="23" t="s">
        <v>68</v>
      </c>
      <c r="D4" s="23" t="s">
        <v>69</v>
      </c>
      <c r="E4" s="23" t="s">
        <v>70</v>
      </c>
      <c r="F4" s="23" t="s">
        <v>46</v>
      </c>
      <c r="G4" s="23" t="s">
        <v>71</v>
      </c>
    </row>
    <row r="5" ht="26" customHeight="1" spans="1:7" x14ac:dyDescent="0.25">
      <c r="A5" s="24">
        <f>IF('Setup'!C8&gt;=1,1,"")</f>
        <v>1</v>
      </c>
      <c r="B5" s="25">
        <f>IF(A5="","",'Setup'!C5)</f>
        <v>10000</v>
      </c>
      <c r="C5" s="25">
        <f>IF(A5="","",'Setup'!C6*12)</f>
        <v>6000</v>
      </c>
      <c r="D5" s="25">
        <f>IF(A5="","",E5-B5-C5)</f>
        <v>919.19</v>
      </c>
      <c r="E5" s="25">
        <f>IF(A5="","",IF('Setup'!C7=0,B5+C5,B5*(1+'Setup'!C7/'Setup'!C9)^'Setup'!C9+'Setup'!C6*((1+'Setup'!C7/'Setup'!C9)^'Setup'!C9-1)/('Setup'!C7/'Setup'!C9)))</f>
        <v>16919.19</v>
      </c>
      <c r="F5" s="25">
        <f>IF(A5="","",'Setup'!C5+C5)</f>
        <v>16000</v>
      </c>
      <c r="G5" s="25">
        <f>IF(A5="","",E5-F5)</f>
        <v>919.19</v>
      </c>
    </row>
    <row r="6" ht="26" customHeight="1" spans="1:7" x14ac:dyDescent="0.25">
      <c r="A6" s="26">
        <f>IF('Setup'!C8&gt;=2,2,"")</f>
        <v>2</v>
      </c>
      <c r="B6" s="27">
        <f>IF(A6="","",E5)</f>
        <v>16919.19</v>
      </c>
      <c r="C6" s="27">
        <f>IF(A6="","",'Setup'!C6*12)</f>
        <v>6000</v>
      </c>
      <c r="D6" s="27">
        <f>IF(A6="","",E6-B6-C6)</f>
        <v>1419.38</v>
      </c>
      <c r="E6" s="27">
        <f>IF(A6="","",IF('Setup'!C7=0,B6+C6,B6*(1+'Setup'!C7/'Setup'!C9)^'Setup'!C9+'Setup'!C6*((1+'Setup'!C7/'Setup'!C9)^'Setup'!C9-1)/('Setup'!C7/'Setup'!C9)))</f>
        <v>24338.58</v>
      </c>
      <c r="F6" s="27">
        <f>IF(A6="","",F5+C6)</f>
        <v>22000</v>
      </c>
      <c r="G6" s="27">
        <f>IF(A6="","",E6-F6)</f>
        <v>2338.58</v>
      </c>
    </row>
    <row r="7" ht="26" customHeight="1" spans="1:7" x14ac:dyDescent="0.25">
      <c r="A7" s="24">
        <f>IF('Setup'!C8&gt;=3,3,"")</f>
        <v>3</v>
      </c>
      <c r="B7" s="25">
        <f>IF(A7="","",E6)</f>
        <v>24338.58</v>
      </c>
      <c r="C7" s="25">
        <f>IF(A7="","",'Setup'!C6*12)</f>
        <v>6000</v>
      </c>
      <c r="D7" s="25">
        <f>IF(A7="","",E7-B7-C7)</f>
        <v>1955.73</v>
      </c>
      <c r="E7" s="25">
        <f>IF(A7="","",IF('Setup'!C7=0,B7+C7,B7*(1+'Setup'!C7/'Setup'!C9)^'Setup'!C9+'Setup'!C6*((1+'Setup'!C7/'Setup'!C9)^'Setup'!C9-1)/('Setup'!C7/'Setup'!C9)))</f>
        <v>32294.31</v>
      </c>
      <c r="F7" s="25">
        <f>IF(A7="","",F6+C7)</f>
        <v>28000</v>
      </c>
      <c r="G7" s="25">
        <f>IF(A7="","",E7-F7)</f>
        <v>4294.31</v>
      </c>
    </row>
    <row r="8" ht="26" customHeight="1" spans="1:7" x14ac:dyDescent="0.25">
      <c r="A8" s="26">
        <f>IF('Setup'!C8&gt;=4,4,"")</f>
        <v>4</v>
      </c>
      <c r="B8" s="27">
        <f>IF(A8="","",E7)</f>
        <v>32294.31</v>
      </c>
      <c r="C8" s="27">
        <f>IF(A8="","",'Setup'!C6*12)</f>
        <v>6000</v>
      </c>
      <c r="D8" s="27">
        <f>IF(A8="","",E8-B8-C8)</f>
        <v>2530.85</v>
      </c>
      <c r="E8" s="27">
        <f>IF(A8="","",IF('Setup'!C7=0,B8+C8,B8*(1+'Setup'!C7/'Setup'!C9)^'Setup'!C9+'Setup'!C6*((1+'Setup'!C7/'Setup'!C9)^'Setup'!C9-1)/('Setup'!C7/'Setup'!C9)))</f>
        <v>40825.16</v>
      </c>
      <c r="F8" s="27">
        <f>IF(A8="","",F7+C8)</f>
        <v>34000</v>
      </c>
      <c r="G8" s="27">
        <f>IF(A8="","",E8-F8)</f>
        <v>6825.16</v>
      </c>
    </row>
    <row r="9" ht="26" customHeight="1" spans="1:7" x14ac:dyDescent="0.25">
      <c r="A9" s="24">
        <f>IF('Setup'!C8&gt;=5,5,"")</f>
        <v>5</v>
      </c>
      <c r="B9" s="25">
        <f>IF(A9="","",E8)</f>
        <v>40825.16</v>
      </c>
      <c r="C9" s="25">
        <f>IF(A9="","",'Setup'!C6*12)</f>
        <v>6000</v>
      </c>
      <c r="D9" s="25">
        <f>IF(A9="","",E9-B9-C9)</f>
        <v>3147.55</v>
      </c>
      <c r="E9" s="25">
        <f>IF(A9="","",IF('Setup'!C7=0,B9+C9,B9*(1+'Setup'!C7/'Setup'!C9)^'Setup'!C9+'Setup'!C6*((1+'Setup'!C7/'Setup'!C9)^'Setup'!C9-1)/('Setup'!C7/'Setup'!C9)))</f>
        <v>49972.7</v>
      </c>
      <c r="F9" s="25">
        <f>IF(A9="","",F8+C9)</f>
        <v>40000</v>
      </c>
      <c r="G9" s="25">
        <f>IF(A9="","",E9-F9)</f>
        <v>9972.7</v>
      </c>
    </row>
    <row r="10" ht="26" customHeight="1" spans="1:7" x14ac:dyDescent="0.25">
      <c r="A10" s="26">
        <f>IF('Setup'!C8&gt;=6,6,"")</f>
        <v>6</v>
      </c>
      <c r="B10" s="27">
        <f>IF(A10="","",E9)</f>
        <v>49972.7</v>
      </c>
      <c r="C10" s="27">
        <f>IF(A10="","",'Setup'!C6*12)</f>
        <v>6000</v>
      </c>
      <c r="D10" s="27">
        <f>IF(A10="","",E10-B10-C10)</f>
        <v>3808.82</v>
      </c>
      <c r="E10" s="27">
        <f>IF(A10="","",IF('Setup'!C7=0,B10+C10,B10*(1+'Setup'!C7/'Setup'!C9)^'Setup'!C9+'Setup'!C6*((1+'Setup'!C7/'Setup'!C9)^'Setup'!C9-1)/('Setup'!C7/'Setup'!C9)))</f>
        <v>59781.53</v>
      </c>
      <c r="F10" s="27">
        <f>IF(A10="","",F9+C10)</f>
        <v>46000</v>
      </c>
      <c r="G10" s="27">
        <f>IF(A10="","",E10-F10)</f>
        <v>13781.53</v>
      </c>
    </row>
    <row r="11" ht="26" customHeight="1" spans="1:7" x14ac:dyDescent="0.25">
      <c r="A11" s="24">
        <f>IF('Setup'!C8&gt;=7,7,"")</f>
        <v>7</v>
      </c>
      <c r="B11" s="25">
        <f>IF(A11="","",E10)</f>
        <v>59781.53</v>
      </c>
      <c r="C11" s="25">
        <f>IF(A11="","",'Setup'!C6*12)</f>
        <v>6000</v>
      </c>
      <c r="D11" s="25">
        <f>IF(A11="","",E11-B11-C11)</f>
        <v>4517.9</v>
      </c>
      <c r="E11" s="25">
        <f>IF(A11="","",IF('Setup'!C7=0,B11+C11,B11*(1+'Setup'!C7/'Setup'!C9)^'Setup'!C9+'Setup'!C6*((1+'Setup'!C7/'Setup'!C9)^'Setup'!C9-1)/('Setup'!C7/'Setup'!C9)))</f>
        <v>70299.43</v>
      </c>
      <c r="F11" s="25">
        <f>IF(A11="","",F10+C11)</f>
        <v>52000</v>
      </c>
      <c r="G11" s="25">
        <f>IF(A11="","",E11-F11)</f>
        <v>18299.43</v>
      </c>
    </row>
    <row r="12" ht="26" customHeight="1" spans="1:7" x14ac:dyDescent="0.25">
      <c r="A12" s="26">
        <f>IF('Setup'!C8&gt;=8,8,"")</f>
        <v>8</v>
      </c>
      <c r="B12" s="27">
        <f>IF(A12="","",E11)</f>
        <v>70299.43</v>
      </c>
      <c r="C12" s="27">
        <f>IF(A12="","",'Setup'!C6*12)</f>
        <v>6000</v>
      </c>
      <c r="D12" s="27">
        <f>IF(A12="","",E12-B12-C12)</f>
        <v>5278.24</v>
      </c>
      <c r="E12" s="27">
        <f>IF(A12="","",IF('Setup'!C7=0,B12+C12,B12*(1+'Setup'!C7/'Setup'!C9)^'Setup'!C9+'Setup'!C6*((1+'Setup'!C7/'Setup'!C9)^'Setup'!C9-1)/('Setup'!C7/'Setup'!C9)))</f>
        <v>81577.68</v>
      </c>
      <c r="F12" s="27">
        <f>IF(A12="","",F11+C12)</f>
        <v>58000</v>
      </c>
      <c r="G12" s="27">
        <f>IF(A12="","",E12-F12)</f>
        <v>23577.68</v>
      </c>
    </row>
    <row r="13" ht="26" customHeight="1" spans="1:7" x14ac:dyDescent="0.25">
      <c r="A13" s="24">
        <f>IF('Setup'!C8&gt;=9,9,"")</f>
        <v>9</v>
      </c>
      <c r="B13" s="25">
        <f>IF(A13="","",E12)</f>
        <v>81577.68</v>
      </c>
      <c r="C13" s="25">
        <f>IF(A13="","",'Setup'!C6*12)</f>
        <v>6000</v>
      </c>
      <c r="D13" s="25">
        <f>IF(A13="","",E13-B13-C13)</f>
        <v>6093.55</v>
      </c>
      <c r="E13" s="25">
        <f>IF(A13="","",IF('Setup'!C7=0,B13+C13,B13*(1+'Setup'!C7/'Setup'!C9)^'Setup'!C9+'Setup'!C6*((1+'Setup'!C7/'Setup'!C9)^'Setup'!C9-1)/('Setup'!C7/'Setup'!C9)))</f>
        <v>93671.22</v>
      </c>
      <c r="F13" s="25">
        <f>IF(A13="","",F12+C13)</f>
        <v>64000</v>
      </c>
      <c r="G13" s="25">
        <f>IF(A13="","",E13-F13)</f>
        <v>29671.22</v>
      </c>
    </row>
    <row r="14" ht="26" customHeight="1" spans="1:7" x14ac:dyDescent="0.25">
      <c r="A14" s="26">
        <f>IF('Setup'!C8&gt;=10,10,"")</f>
        <v>10</v>
      </c>
      <c r="B14" s="27">
        <f>IF(A14="","",E13)</f>
        <v>93671.22</v>
      </c>
      <c r="C14" s="27">
        <f>IF(A14="","",'Setup'!C6*12)</f>
        <v>6000</v>
      </c>
      <c r="D14" s="27">
        <f>IF(A14="","",E14-B14-C14)</f>
        <v>6967.79</v>
      </c>
      <c r="E14" s="27">
        <f>IF(A14="","",IF('Setup'!C7=0,B14+C14,B14*(1+'Setup'!C7/'Setup'!C9)^'Setup'!C9+'Setup'!C6*((1+'Setup'!C7/'Setup'!C9)^'Setup'!C9-1)/('Setup'!C7/'Setup'!C9)))</f>
        <v>106639.02</v>
      </c>
      <c r="F14" s="27">
        <f>IF(A14="","",F13+C14)</f>
        <v>70000</v>
      </c>
      <c r="G14" s="27">
        <f>IF(A14="","",E14-F14)</f>
        <v>36639.02</v>
      </c>
    </row>
    <row r="15" ht="26" customHeight="1" spans="1:7" x14ac:dyDescent="0.25">
      <c r="A15" s="24">
        <f>IF('Setup'!C8&gt;=11,11,"")</f>
        <v>11</v>
      </c>
      <c r="B15" s="25">
        <f>IF(A15="","",E14)</f>
        <v>106639.02</v>
      </c>
      <c r="C15" s="25">
        <f>IF(A15="","",'Setup'!C6*12)</f>
        <v>6000</v>
      </c>
      <c r="D15" s="25">
        <f>IF(A15="","",E15-B15-C15)</f>
        <v>7905.24</v>
      </c>
      <c r="E15" s="25">
        <f>IF(A15="","",IF('Setup'!C7=0,B15+C15,B15*(1+'Setup'!C7/'Setup'!C9)^'Setup'!C9+'Setup'!C6*((1+'Setup'!C7/'Setup'!C9)^'Setup'!C9-1)/('Setup'!C7/'Setup'!C9)))</f>
        <v>120544.25</v>
      </c>
      <c r="F15" s="25">
        <f>IF(A15="","",F14+C15)</f>
        <v>76000</v>
      </c>
      <c r="G15" s="25">
        <f>IF(A15="","",E15-F15)</f>
        <v>44544.25</v>
      </c>
    </row>
    <row r="16" ht="26" customHeight="1" spans="1:7" x14ac:dyDescent="0.25">
      <c r="A16" s="26">
        <f>IF('Setup'!C8&gt;=12,12,"")</f>
        <v>12</v>
      </c>
      <c r="B16" s="27">
        <f>IF(A16="","",E15)</f>
        <v>120544.25</v>
      </c>
      <c r="C16" s="27">
        <f>IF(A16="","",'Setup'!C6*12)</f>
        <v>6000</v>
      </c>
      <c r="D16" s="27">
        <f>IF(A16="","",E16-B16-C16)</f>
        <v>8910.45</v>
      </c>
      <c r="E16" s="27">
        <f>IF(A16="","",IF('Setup'!C7=0,B16+C16,B16*(1+'Setup'!C7/'Setup'!C9)^'Setup'!C9+'Setup'!C6*((1+'Setup'!C7/'Setup'!C9)^'Setup'!C9-1)/('Setup'!C7/'Setup'!C9)))</f>
        <v>135454.7</v>
      </c>
      <c r="F16" s="27">
        <f>IF(A16="","",F15+C16)</f>
        <v>82000</v>
      </c>
      <c r="G16" s="27">
        <f>IF(A16="","",E16-F16)</f>
        <v>53454.7</v>
      </c>
    </row>
    <row r="17" ht="26" customHeight="1" spans="1:7" x14ac:dyDescent="0.25">
      <c r="A17" s="24">
        <f>IF('Setup'!C8&gt;=13,13,"")</f>
        <v>13</v>
      </c>
      <c r="B17" s="25">
        <f>IF(A17="","",E16)</f>
        <v>135454.7</v>
      </c>
      <c r="C17" s="25">
        <f>IF(A17="","",'Setup'!C6*12)</f>
        <v>6000</v>
      </c>
      <c r="D17" s="25">
        <f>IF(A17="","",E17-B17-C17)</f>
        <v>9988.32</v>
      </c>
      <c r="E17" s="25">
        <f>IF(A17="","",IF('Setup'!C7=0,B17+C17,B17*(1+'Setup'!C7/'Setup'!C9)^'Setup'!C9+'Setup'!C6*((1+'Setup'!C7/'Setup'!C9)^'Setup'!C9-1)/('Setup'!C7/'Setup'!C9)))</f>
        <v>151443.02</v>
      </c>
      <c r="F17" s="25">
        <f>IF(A17="","",F16+C17)</f>
        <v>88000</v>
      </c>
      <c r="G17" s="25">
        <f>IF(A17="","",E17-F17)</f>
        <v>63443.02</v>
      </c>
    </row>
    <row r="18" ht="26" customHeight="1" spans="1:7" x14ac:dyDescent="0.25">
      <c r="A18" s="26">
        <f>IF('Setup'!C8&gt;=14,14,"")</f>
        <v>14</v>
      </c>
      <c r="B18" s="27">
        <f>IF(A18="","",E17)</f>
        <v>151443.02</v>
      </c>
      <c r="C18" s="27">
        <f>IF(A18="","",'Setup'!C6*12)</f>
        <v>6000</v>
      </c>
      <c r="D18" s="27">
        <f>IF(A18="","",E18-B18-C18)</f>
        <v>11144.12</v>
      </c>
      <c r="E18" s="27">
        <f>IF(A18="","",IF('Setup'!C7=0,B18+C18,B18*(1+'Setup'!C7/'Setup'!C9)^'Setup'!C9+'Setup'!C6*((1+'Setup'!C7/'Setup'!C9)^'Setup'!C9-1)/('Setup'!C7/'Setup'!C9)))</f>
        <v>168587.14</v>
      </c>
      <c r="F18" s="27">
        <f>IF(A18="","",F17+C18)</f>
        <v>94000</v>
      </c>
      <c r="G18" s="27">
        <f>IF(A18="","",E18-F18)</f>
        <v>74587.14</v>
      </c>
    </row>
    <row r="19" ht="26" customHeight="1" spans="1:7" x14ac:dyDescent="0.25">
      <c r="A19" s="24">
        <f>IF('Setup'!C8&gt;=15,15,"")</f>
        <v>15</v>
      </c>
      <c r="B19" s="25">
        <f>IF(A19="","",E18)</f>
        <v>168587.14</v>
      </c>
      <c r="C19" s="25">
        <f>IF(A19="","",'Setup'!C6*12)</f>
        <v>6000</v>
      </c>
      <c r="D19" s="25">
        <f>IF(A19="","",E19-B19-C19)</f>
        <v>12383.47</v>
      </c>
      <c r="E19" s="25">
        <f>IF(A19="","",IF('Setup'!C7=0,B19+C19,B19*(1+'Setup'!C7/'Setup'!C9)^'Setup'!C9+'Setup'!C6*((1+'Setup'!C7/'Setup'!C9)^'Setup'!C9-1)/('Setup'!C7/'Setup'!C9)))</f>
        <v>186970.62</v>
      </c>
      <c r="F19" s="25">
        <f>IF(A19="","",F18+C19)</f>
        <v>100000</v>
      </c>
      <c r="G19" s="25">
        <f>IF(A19="","",E19-F19)</f>
        <v>86970.62</v>
      </c>
    </row>
    <row r="20" ht="26" customHeight="1" spans="1:7" x14ac:dyDescent="0.25">
      <c r="A20" s="26">
        <f>IF('Setup'!C8&gt;=16,16,"")</f>
        <v>16</v>
      </c>
      <c r="B20" s="27">
        <f>IF(A20="","",E19)</f>
        <v>186970.62</v>
      </c>
      <c r="C20" s="27">
        <f>IF(A20="","",'Setup'!C6*12)</f>
        <v>6000</v>
      </c>
      <c r="D20" s="27">
        <f>IF(A20="","",E20-B20-C20)</f>
        <v>13712.41</v>
      </c>
      <c r="E20" s="27">
        <f>IF(A20="","",IF('Setup'!C7=0,B20+C20,B20*(1+'Setup'!C7/'Setup'!C9)^'Setup'!C9+'Setup'!C6*((1+'Setup'!C7/'Setup'!C9)^'Setup'!C9-1)/('Setup'!C7/'Setup'!C9)))</f>
        <v>206683.03</v>
      </c>
      <c r="F20" s="27">
        <f>IF(A20="","",F19+C20)</f>
        <v>106000</v>
      </c>
      <c r="G20" s="27">
        <f>IF(A20="","",E20-F20)</f>
        <v>100683.03</v>
      </c>
    </row>
    <row r="21" ht="26" customHeight="1" spans="1:7" x14ac:dyDescent="0.25">
      <c r="A21" s="24">
        <f>IF('Setup'!C8&gt;=17,17,"")</f>
        <v>17</v>
      </c>
      <c r="B21" s="25">
        <f>IF(A21="","",E20)</f>
        <v>206683.03</v>
      </c>
      <c r="C21" s="25">
        <f>IF(A21="","",'Setup'!C6*12)</f>
        <v>6000</v>
      </c>
      <c r="D21" s="25">
        <f>IF(A21="","",E21-B21-C21)</f>
        <v>15137.43</v>
      </c>
      <c r="E21" s="25">
        <f>IF(A21="","",IF('Setup'!C7=0,B21+C21,B21*(1+'Setup'!C7/'Setup'!C9)^'Setup'!C9+'Setup'!C6*((1+'Setup'!C7/'Setup'!C9)^'Setup'!C9-1)/('Setup'!C7/'Setup'!C9)))</f>
        <v>227820.45</v>
      </c>
      <c r="F21" s="25">
        <f>IF(A21="","",F20+C21)</f>
        <v>112000</v>
      </c>
      <c r="G21" s="25">
        <f>IF(A21="","",E21-F21)</f>
        <v>115820.45</v>
      </c>
    </row>
    <row r="22" ht="26" customHeight="1" spans="1:7" x14ac:dyDescent="0.25">
      <c r="A22" s="26">
        <f>IF('Setup'!C8&gt;=18,18,"")</f>
        <v>18</v>
      </c>
      <c r="B22" s="27">
        <f>IF(A22="","",E21)</f>
        <v>227820.45</v>
      </c>
      <c r="C22" s="27">
        <f>IF(A22="","",'Setup'!C6*12)</f>
        <v>6000</v>
      </c>
      <c r="D22" s="27">
        <f>IF(A22="","",E22-B22-C22)</f>
        <v>16665.45</v>
      </c>
      <c r="E22" s="27">
        <f>IF(A22="","",IF('Setup'!C7=0,B22+C22,B22*(1+'Setup'!C7/'Setup'!C9)^'Setup'!C9+'Setup'!C6*((1+'Setup'!C7/'Setup'!C9)^'Setup'!C9-1)/('Setup'!C7/'Setup'!C9)))</f>
        <v>250485.91</v>
      </c>
      <c r="F22" s="27">
        <f>IF(A22="","",F21+C22)</f>
        <v>118000</v>
      </c>
      <c r="G22" s="27">
        <f>IF(A22="","",E22-F22)</f>
        <v>132485.91</v>
      </c>
    </row>
    <row r="23" ht="26" customHeight="1" spans="1:7" x14ac:dyDescent="0.25">
      <c r="A23" s="24">
        <f>IF('Setup'!C8&gt;=19,19,"")</f>
        <v>19</v>
      </c>
      <c r="B23" s="25">
        <f>IF(A23="","",E22)</f>
        <v>250485.91</v>
      </c>
      <c r="C23" s="25">
        <f>IF(A23="","",'Setup'!C6*12)</f>
        <v>6000</v>
      </c>
      <c r="D23" s="25">
        <f>IF(A23="","",E23-B23-C23)</f>
        <v>18303.94</v>
      </c>
      <c r="E23" s="25">
        <f>IF(A23="","",IF('Setup'!C7=0,B23+C23,B23*(1+'Setup'!C7/'Setup'!C9)^'Setup'!C9+'Setup'!C6*((1+'Setup'!C7/'Setup'!C9)^'Setup'!C9-1)/('Setup'!C7/'Setup'!C9)))</f>
        <v>274789.85</v>
      </c>
      <c r="F23" s="25">
        <f>IF(A23="","",F22+C23)</f>
        <v>124000</v>
      </c>
      <c r="G23" s="25">
        <f>IF(A23="","",E23-F23)</f>
        <v>150789.85</v>
      </c>
    </row>
    <row r="24" ht="26" customHeight="1" spans="1:7" x14ac:dyDescent="0.25">
      <c r="A24" s="26">
        <f>IF('Setup'!C8&gt;=20,20,"")</f>
        <v>20</v>
      </c>
      <c r="B24" s="27">
        <f>IF(A24="","",E23)</f>
        <v>274789.85</v>
      </c>
      <c r="C24" s="27">
        <f>IF(A24="","",'Setup'!C6*12)</f>
        <v>6000</v>
      </c>
      <c r="D24" s="27">
        <f>IF(A24="","",E24-B24-C24)</f>
        <v>20060.87</v>
      </c>
      <c r="E24" s="27">
        <f>IF(A24="","",IF('Setup'!C7=0,B24+C24,B24*(1+'Setup'!C7/'Setup'!C9)^'Setup'!C9+'Setup'!C6*((1+'Setup'!C7/'Setup'!C9)^'Setup'!C9-1)/('Setup'!C7/'Setup'!C9)))</f>
        <v>300850.72</v>
      </c>
      <c r="F24" s="27">
        <f>IF(A24="","",F23+C24)</f>
        <v>130000</v>
      </c>
      <c r="G24" s="27">
        <f>IF(A24="","",E24-F24)</f>
        <v>170850.72</v>
      </c>
    </row>
    <row r="25" ht="26" customHeight="1" spans="1:7" x14ac:dyDescent="0.25">
      <c r="A25" s="24">
        <f>IF('Setup'!C8&gt;=21,21,"")</f>
        <v>21</v>
      </c>
      <c r="B25" s="25">
        <f>IF(A25="","",E24)</f>
        <v>300850.72</v>
      </c>
      <c r="C25" s="25">
        <f>IF(A25="","",'Setup'!C6*12)</f>
        <v>6000</v>
      </c>
      <c r="D25" s="25">
        <f>IF(A25="","",E25-B25-C25)</f>
        <v>21944.82</v>
      </c>
      <c r="E25" s="25">
        <f>IF(A25="","",IF('Setup'!C7=0,B25+C25,B25*(1+'Setup'!C7/'Setup'!C9)^'Setup'!C9+'Setup'!C6*((1+'Setup'!C7/'Setup'!C9)^'Setup'!C9-1)/('Setup'!C7/'Setup'!C9)))</f>
        <v>328795.53</v>
      </c>
      <c r="F25" s="25">
        <f>IF(A25="","",F24+C25)</f>
        <v>136000</v>
      </c>
      <c r="G25" s="25">
        <f>IF(A25="","",E25-F25)</f>
        <v>192795.53</v>
      </c>
    </row>
    <row r="26" ht="26" customHeight="1" spans="1:7" x14ac:dyDescent="0.25">
      <c r="A26" s="26">
        <f>IF('Setup'!C8&gt;=22,22,"")</f>
        <v>22</v>
      </c>
      <c r="B26" s="27">
        <f>IF(A26="","",E25)</f>
        <v>328795.53</v>
      </c>
      <c r="C26" s="27">
        <f>IF(A26="","",'Setup'!C6*12)</f>
        <v>6000</v>
      </c>
      <c r="D26" s="27">
        <f>IF(A26="","",E26-B26-C26)</f>
        <v>23964.95</v>
      </c>
      <c r="E26" s="27">
        <f>IF(A26="","",IF('Setup'!C7=0,B26+C26,B26*(1+'Setup'!C7/'Setup'!C9)^'Setup'!C9+'Setup'!C6*((1+'Setup'!C7/'Setup'!C9)^'Setup'!C9-1)/('Setup'!C7/'Setup'!C9)))</f>
        <v>358760.48</v>
      </c>
      <c r="F26" s="27">
        <f>IF(A26="","",F25+C26)</f>
        <v>142000</v>
      </c>
      <c r="G26" s="27">
        <f>IF(A26="","",E26-F26)</f>
        <v>216760.48</v>
      </c>
    </row>
    <row r="27" ht="26" customHeight="1" spans="1:7" x14ac:dyDescent="0.25">
      <c r="A27" s="24">
        <f>IF('Setup'!C8&gt;=23,23,"")</f>
        <v>23</v>
      </c>
      <c r="B27" s="25">
        <f>IF(A27="","",E26)</f>
        <v>358760.48</v>
      </c>
      <c r="C27" s="25">
        <f>IF(A27="","",'Setup'!C6*12)</f>
        <v>6000</v>
      </c>
      <c r="D27" s="25">
        <f>IF(A27="","",E27-B27-C27)</f>
        <v>26131.12</v>
      </c>
      <c r="E27" s="25">
        <f>IF(A27="","",IF('Setup'!C7=0,B27+C27,B27*(1+'Setup'!C7/'Setup'!C9)^'Setup'!C9+'Setup'!C6*((1+'Setup'!C7/'Setup'!C9)^'Setup'!C9-1)/('Setup'!C7/'Setup'!C9)))</f>
        <v>390891.6</v>
      </c>
      <c r="F27" s="25">
        <f>IF(A27="","",F26+C27)</f>
        <v>148000</v>
      </c>
      <c r="G27" s="25">
        <f>IF(A27="","",E27-F27)</f>
        <v>242891.6</v>
      </c>
    </row>
    <row r="28" ht="26" customHeight="1" spans="1:7" x14ac:dyDescent="0.25">
      <c r="A28" s="26">
        <f>IF('Setup'!C8&gt;=24,24,"")</f>
        <v>24</v>
      </c>
      <c r="B28" s="27">
        <f>IF(A28="","",E27)</f>
        <v>390891.6</v>
      </c>
      <c r="C28" s="27">
        <f>IF(A28="","",'Setup'!C6*12)</f>
        <v>6000</v>
      </c>
      <c r="D28" s="27">
        <f>IF(A28="","",E28-B28-C28)</f>
        <v>28453.88</v>
      </c>
      <c r="E28" s="27">
        <f>IF(A28="","",IF('Setup'!C7=0,B28+C28,B28*(1+'Setup'!C7/'Setup'!C9)^'Setup'!C9+'Setup'!C6*((1+'Setup'!C7/'Setup'!C9)^'Setup'!C9-1)/('Setup'!C7/'Setup'!C9)))</f>
        <v>425345.48</v>
      </c>
      <c r="F28" s="27">
        <f>IF(A28="","",F27+C28)</f>
        <v>154000</v>
      </c>
      <c r="G28" s="27">
        <f>IF(A28="","",E28-F28)</f>
        <v>271345.48</v>
      </c>
    </row>
    <row r="29" ht="26" customHeight="1" spans="1:7" x14ac:dyDescent="0.25">
      <c r="A29" s="24">
        <f>IF('Setup'!C8&gt;=25,25,"")</f>
        <v>25</v>
      </c>
      <c r="B29" s="25">
        <f>IF(A29="","",E28)</f>
        <v>425345.48</v>
      </c>
      <c r="C29" s="25">
        <f>IF(A29="","",'Setup'!C6*12)</f>
        <v>6000</v>
      </c>
      <c r="D29" s="25">
        <f>IF(A29="","",E29-B29-C29)</f>
        <v>30944.55</v>
      </c>
      <c r="E29" s="25">
        <f>IF(A29="","",IF('Setup'!C7=0,B29+C29,B29*(1+'Setup'!C7/'Setup'!C9)^'Setup'!C9+'Setup'!C6*((1+'Setup'!C7/'Setup'!C9)^'Setup'!C9-1)/('Setup'!C7/'Setup'!C9)))</f>
        <v>462290.03</v>
      </c>
      <c r="F29" s="25">
        <f>IF(A29="","",F28+C29)</f>
        <v>160000</v>
      </c>
      <c r="G29" s="25">
        <f>IF(A29="","",E29-F29)</f>
        <v>302290.03</v>
      </c>
    </row>
    <row r="30" ht="26" customHeight="1" spans="1:7" x14ac:dyDescent="0.25">
      <c r="A30" s="26">
        <f>IF('Setup'!C8&gt;=26,26,"")</f>
        <v>26</v>
      </c>
      <c r="B30" s="27">
        <f>IF(A30="","",E29)</f>
        <v>462290.03</v>
      </c>
      <c r="C30" s="27">
        <f>IF(A30="","",'Setup'!C6*12)</f>
        <v>6000</v>
      </c>
      <c r="D30" s="27">
        <f>IF(A30="","",E30-B30-C30)</f>
        <v>33615.28</v>
      </c>
      <c r="E30" s="27">
        <f>IF(A30="","",IF('Setup'!C7=0,B30+C30,B30*(1+'Setup'!C7/'Setup'!C9)^'Setup'!C9+'Setup'!C6*((1+'Setup'!C7/'Setup'!C9)^'Setup'!C9-1)/('Setup'!C7/'Setup'!C9)))</f>
        <v>501905.3</v>
      </c>
      <c r="F30" s="27">
        <f>IF(A30="","",F29+C30)</f>
        <v>166000</v>
      </c>
      <c r="G30" s="27">
        <f>IF(A30="","",E30-F30)</f>
        <v>335905.3</v>
      </c>
    </row>
    <row r="31" ht="26" customHeight="1" spans="1:7" x14ac:dyDescent="0.25">
      <c r="A31" s="24">
        <f>IF('Setup'!C8&gt;=27,27,"")</f>
        <v>27</v>
      </c>
      <c r="B31" s="25">
        <f>IF(A31="","",E30)</f>
        <v>501905.3</v>
      </c>
      <c r="C31" s="25">
        <f>IF(A31="","",'Setup'!C6*12)</f>
        <v>6000</v>
      </c>
      <c r="D31" s="25">
        <f>IF(A31="","",E31-B31-C31)</f>
        <v>36479.07</v>
      </c>
      <c r="E31" s="25">
        <f>IF(A31="","",IF('Setup'!C7=0,B31+C31,B31*(1+'Setup'!C7/'Setup'!C9)^'Setup'!C9+'Setup'!C6*((1+'Setup'!C7/'Setup'!C9)^'Setup'!C9-1)/('Setup'!C7/'Setup'!C9)))</f>
        <v>544384.37</v>
      </c>
      <c r="F31" s="25">
        <f>IF(A31="","",F30+C31)</f>
        <v>172000</v>
      </c>
      <c r="G31" s="25">
        <f>IF(A31="","",E31-F31)</f>
        <v>372384.37</v>
      </c>
    </row>
    <row r="32" ht="26" customHeight="1" spans="1:7" x14ac:dyDescent="0.25">
      <c r="A32" s="26">
        <f>IF('Setup'!C8&gt;=28,28,"")</f>
        <v>28</v>
      </c>
      <c r="B32" s="27">
        <f>IF(A32="","",E31)</f>
        <v>544384.37</v>
      </c>
      <c r="C32" s="27">
        <f>IF(A32="","",'Setup'!C6*12)</f>
        <v>6000</v>
      </c>
      <c r="D32" s="27">
        <f>IF(A32="","",E32-B32-C32)</f>
        <v>39549.88</v>
      </c>
      <c r="E32" s="27">
        <f>IF(A32="","",IF('Setup'!C7=0,B32+C32,B32*(1+'Setup'!C7/'Setup'!C9)^'Setup'!C9+'Setup'!C6*((1+'Setup'!C7/'Setup'!C9)^'Setup'!C9-1)/('Setup'!C7/'Setup'!C9)))</f>
        <v>589934.26</v>
      </c>
      <c r="F32" s="27">
        <f>IF(A32="","",F31+C32)</f>
        <v>178000</v>
      </c>
      <c r="G32" s="27">
        <f>IF(A32="","",E32-F32)</f>
        <v>411934.26</v>
      </c>
    </row>
    <row r="33" ht="26" customHeight="1" spans="1:7" x14ac:dyDescent="0.25">
      <c r="A33" s="24">
        <f>IF('Setup'!C8&gt;=29,29,"")</f>
        <v>29</v>
      </c>
      <c r="B33" s="25">
        <f>IF(A33="","",E32)</f>
        <v>589934.26</v>
      </c>
      <c r="C33" s="25">
        <f>IF(A33="","",'Setup'!C6*12)</f>
        <v>6000</v>
      </c>
      <c r="D33" s="25">
        <f>IF(A33="","",E33-B33-C33)</f>
        <v>42842.69</v>
      </c>
      <c r="E33" s="25">
        <f>IF(A33="","",IF('Setup'!C7=0,B33+C33,B33*(1+'Setup'!C7/'Setup'!C9)^'Setup'!C9+'Setup'!C6*((1+'Setup'!C7/'Setup'!C9)^'Setup'!C9-1)/('Setup'!C7/'Setup'!C9)))</f>
        <v>638776.94</v>
      </c>
      <c r="F33" s="25">
        <f>IF(A33="","",F32+C33)</f>
        <v>184000</v>
      </c>
      <c r="G33" s="25">
        <f>IF(A33="","",E33-F33)</f>
        <v>454776.94</v>
      </c>
    </row>
    <row r="34" ht="26" customHeight="1" spans="1:7" x14ac:dyDescent="0.25">
      <c r="A34" s="26">
        <f>IF('Setup'!C8&gt;=30,30,"")</f>
        <v>30</v>
      </c>
      <c r="B34" s="27">
        <f>IF(A34="","",E33)</f>
        <v>638776.94</v>
      </c>
      <c r="C34" s="27">
        <f>IF(A34="","",'Setup'!C6*12)</f>
        <v>6000</v>
      </c>
      <c r="D34" s="27">
        <f>IF(A34="","",E34-B34-C34)</f>
        <v>46373.53</v>
      </c>
      <c r="E34" s="27">
        <f>IF(A34="","",IF('Setup'!C7=0,B34+C34,B34*(1+'Setup'!C7/'Setup'!C9)^'Setup'!C9+'Setup'!C6*((1+'Setup'!C7/'Setup'!C9)^'Setup'!C9-1)/('Setup'!C7/'Setup'!C9)))</f>
        <v>691150.47</v>
      </c>
      <c r="F34" s="27">
        <f>IF(A34="","",F33+C34)</f>
        <v>190000</v>
      </c>
      <c r="G34" s="27">
        <f>IF(A34="","",E34-F34)</f>
        <v>501150.47</v>
      </c>
    </row>
    <row r="35" ht="14" customHeight="1" x14ac:dyDescent="0.25"/>
    <row r="36" ht="6" customHeight="1" x14ac:dyDescent="0.25"/>
    <row r="37" ht="20" customHeight="1" spans="1:7" x14ac:dyDescent="0.25">
      <c r="A37" s="11" t="s">
        <v>12</v>
      </c>
      <c r="B37" s="11"/>
      <c r="C37" s="11"/>
      <c r="D37" s="11"/>
      <c r="E37" s="11"/>
      <c r="F37" s="11"/>
      <c r="G37" s="11"/>
    </row>
    <row r="38" ht="20" customHeight="1" spans="1:7" x14ac:dyDescent="0.25">
      <c r="A38" s="12" t="s">
        <v>13</v>
      </c>
      <c r="B38" s="12"/>
      <c r="C38" s="12"/>
      <c r="D38" s="12"/>
      <c r="E38" s="12"/>
      <c r="F38" s="12"/>
      <c r="G38" s="12"/>
    </row>
  </sheetData>
  <sheetProtection sheet="1"/>
  <mergeCells count="4">
    <mergeCell ref="A1:G1"/>
    <mergeCell ref="A2:G2"/>
    <mergeCell ref="A37:G37"/>
    <mergeCell ref="A38:G38"/>
  </mergeCells>
  <hyperlinks>
    <hyperlink ref="A3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54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28" t="s">
        <v>72</v>
      </c>
      <c r="B1" s="28"/>
    </row>
    <row r="2" ht="24" customHeight="1" spans="1:2" x14ac:dyDescent="0.25">
      <c r="A2" s="29" t="s">
        <v>73</v>
      </c>
      <c r="B2" s="29"/>
    </row>
    <row r="3" ht="14" customHeight="1" x14ac:dyDescent="0.25"/>
    <row r="4" ht="28" customHeight="1" spans="1:2" x14ac:dyDescent="0.25">
      <c r="A4" s="30" t="s">
        <v>74</v>
      </c>
      <c r="B4" s="10"/>
    </row>
    <row r="6" ht="24" customHeight="1" spans="2:2" x14ac:dyDescent="0.25">
      <c r="B6" s="31" t="s">
        <v>75</v>
      </c>
    </row>
    <row r="7" ht="24" customHeight="1" spans="2:2" x14ac:dyDescent="0.25">
      <c r="B7" s="31" t="s">
        <v>76</v>
      </c>
    </row>
    <row r="8" ht="24" customHeight="1" spans="2:2" x14ac:dyDescent="0.25">
      <c r="B8" s="31" t="s">
        <v>77</v>
      </c>
    </row>
    <row r="9" ht="24" customHeight="1" spans="2:2" x14ac:dyDescent="0.25">
      <c r="B9" s="31" t="s">
        <v>78</v>
      </c>
    </row>
    <row r="10" ht="24" customHeight="1" spans="2:2" x14ac:dyDescent="0.25">
      <c r="B10" s="31" t="s">
        <v>79</v>
      </c>
    </row>
    <row r="11" ht="24" customHeight="1" spans="2:2" x14ac:dyDescent="0.25">
      <c r="B11" s="31" t="s">
        <v>80</v>
      </c>
    </row>
    <row r="12" ht="12" customHeight="1" x14ac:dyDescent="0.25"/>
    <row r="13" ht="28" customHeight="1" spans="1:2" x14ac:dyDescent="0.25">
      <c r="A13" s="30" t="s">
        <v>81</v>
      </c>
      <c r="B13" s="10"/>
    </row>
    <row r="15" ht="24" customHeight="1" spans="2:2" x14ac:dyDescent="0.25">
      <c r="B15" s="31" t="s">
        <v>82</v>
      </c>
    </row>
    <row r="16" ht="24" customHeight="1" spans="2:2" x14ac:dyDescent="0.25">
      <c r="B16" s="31" t="s">
        <v>83</v>
      </c>
    </row>
    <row r="17" ht="24" customHeight="1" spans="2:2" x14ac:dyDescent="0.25">
      <c r="B17" s="31" t="s">
        <v>84</v>
      </c>
    </row>
    <row r="18" ht="24" customHeight="1" spans="2:2" x14ac:dyDescent="0.25">
      <c r="B18" s="31" t="s">
        <v>85</v>
      </c>
    </row>
    <row r="19" ht="24" customHeight="1" spans="2:2" x14ac:dyDescent="0.25">
      <c r="B19" s="31" t="s">
        <v>86</v>
      </c>
    </row>
    <row r="20" ht="24" customHeight="1" spans="2:2" x14ac:dyDescent="0.25">
      <c r="B20" s="31" t="s">
        <v>87</v>
      </c>
    </row>
    <row r="21" ht="12" customHeight="1" x14ac:dyDescent="0.25"/>
    <row r="22" ht="28" customHeight="1" spans="1:2" x14ac:dyDescent="0.25">
      <c r="A22" s="30" t="s">
        <v>88</v>
      </c>
      <c r="B22" s="10"/>
    </row>
    <row r="24" ht="24" customHeight="1" spans="2:2" x14ac:dyDescent="0.25">
      <c r="B24" s="31" t="s">
        <v>89</v>
      </c>
    </row>
    <row r="25" ht="24" customHeight="1" spans="2:2" x14ac:dyDescent="0.25">
      <c r="B25" s="31" t="s">
        <v>90</v>
      </c>
    </row>
    <row r="26" ht="24" customHeight="1" spans="2:2" x14ac:dyDescent="0.25">
      <c r="B26" s="31" t="s">
        <v>91</v>
      </c>
    </row>
    <row r="27" ht="24" customHeight="1" spans="2:2" x14ac:dyDescent="0.25">
      <c r="B27" s="31" t="s">
        <v>92</v>
      </c>
    </row>
    <row r="28" ht="24" customHeight="1" spans="2:2" x14ac:dyDescent="0.25">
      <c r="B28" s="31" t="s">
        <v>93</v>
      </c>
    </row>
    <row r="29" ht="24" customHeight="1" spans="2:2" x14ac:dyDescent="0.25">
      <c r="B29" s="31" t="s">
        <v>94</v>
      </c>
    </row>
    <row r="30" ht="12" customHeight="1" x14ac:dyDescent="0.25"/>
    <row r="31" ht="28" customHeight="1" spans="1:2" x14ac:dyDescent="0.25">
      <c r="A31" s="30" t="s">
        <v>95</v>
      </c>
      <c r="B31" s="10"/>
    </row>
    <row r="33" ht="24" customHeight="1" spans="2:2" x14ac:dyDescent="0.25">
      <c r="B33" s="31" t="s">
        <v>96</v>
      </c>
    </row>
    <row r="34" ht="24" customHeight="1" spans="2:2" x14ac:dyDescent="0.25">
      <c r="B34" s="31" t="s">
        <v>97</v>
      </c>
    </row>
    <row r="35" ht="24" customHeight="1" spans="2:2" x14ac:dyDescent="0.25">
      <c r="B35" s="31" t="s">
        <v>98</v>
      </c>
    </row>
    <row r="36" ht="24" customHeight="1" spans="2:2" x14ac:dyDescent="0.25">
      <c r="B36" s="31" t="s">
        <v>99</v>
      </c>
    </row>
    <row r="37" ht="24" customHeight="1" spans="2:2" x14ac:dyDescent="0.25">
      <c r="B37" s="31" t="s">
        <v>100</v>
      </c>
    </row>
    <row r="38" ht="12" customHeight="1" x14ac:dyDescent="0.25"/>
    <row r="39" ht="28" customHeight="1" spans="1:2" x14ac:dyDescent="0.25">
      <c r="A39" s="30" t="s">
        <v>101</v>
      </c>
      <c r="B39" s="10"/>
    </row>
    <row r="41" ht="24" customHeight="1" spans="2:2" x14ac:dyDescent="0.25">
      <c r="B41" s="31" t="s">
        <v>102</v>
      </c>
    </row>
    <row r="42" ht="24" customHeight="1" spans="2:2" x14ac:dyDescent="0.25">
      <c r="B42" s="31" t="s">
        <v>103</v>
      </c>
    </row>
    <row r="43" ht="24" customHeight="1" spans="2:2" x14ac:dyDescent="0.25">
      <c r="B43" s="31" t="s">
        <v>104</v>
      </c>
    </row>
    <row r="44" ht="24" customHeight="1" spans="2:2" x14ac:dyDescent="0.25">
      <c r="B44" s="31" t="s">
        <v>105</v>
      </c>
    </row>
    <row r="45" ht="12" customHeight="1" x14ac:dyDescent="0.25"/>
    <row r="46" ht="28" customHeight="1" spans="1:2" x14ac:dyDescent="0.25">
      <c r="A46" s="30" t="s">
        <v>106</v>
      </c>
      <c r="B46" s="10"/>
    </row>
    <row r="48" ht="24" customHeight="1" spans="2:2" x14ac:dyDescent="0.25">
      <c r="B48" s="31" t="s">
        <v>107</v>
      </c>
    </row>
    <row r="49" ht="24" customHeight="1" spans="2:2" x14ac:dyDescent="0.25">
      <c r="B49" s="31" t="s">
        <v>108</v>
      </c>
    </row>
    <row r="50" ht="24" customHeight="1" spans="2:2" x14ac:dyDescent="0.25">
      <c r="B50" s="31" t="s">
        <v>109</v>
      </c>
    </row>
    <row r="51" ht="12" customHeight="1" x14ac:dyDescent="0.25"/>
    <row r="52" ht="6" customHeight="1" x14ac:dyDescent="0.25"/>
    <row r="53" ht="20" customHeight="1" spans="1:2" x14ac:dyDescent="0.25">
      <c r="A53" s="32" t="s">
        <v>12</v>
      </c>
      <c r="B53" s="32"/>
    </row>
    <row r="54" ht="20" customHeight="1" spans="1:2" x14ac:dyDescent="0.25">
      <c r="A54" s="33" t="s">
        <v>13</v>
      </c>
      <c r="B54" s="33"/>
    </row>
  </sheetData>
  <mergeCells count="4">
    <mergeCell ref="A1:B1"/>
    <mergeCell ref="A2:B2"/>
    <mergeCell ref="A53:B53"/>
    <mergeCell ref="A54:B54"/>
  </mergeCells>
  <hyperlinks>
    <hyperlink ref="A5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Setup</vt:lpstr>
      <vt:lpstr>Projection Table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Compound Interest Calculator</dc:title>
  <dc:subject>Financial Template</dc:subject>
  <dc:description>Free Compound Interest Calculator template by FinancialAha.com</dc:description>
  <cp:keywords>finance, template, spreadsheet, FinancialAha</cp:keywords>
  <cp:category>Finance</cp:category>
  <cp:lastModifiedBy>Unknown</cp:lastModifiedBy>
  <cp:lastPrinted>2026-04-01T18:00:05Z</cp:lastPrinted>
  <dcterms:created xsi:type="dcterms:W3CDTF">2026-04-01T18:00:05Z</dcterms:created>
  <dcterms:modified xsi:type="dcterms:W3CDTF">2026-04-01T18:00:05Z</dcterms:modified>
</cp:coreProperties>
</file>