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College Setup" state="visible" r:id="rId5"/>
    <sheet sheetId="3" name="Projection Table" state="visible" r:id="rId6"/>
    <sheet sheetId="4" name="How to Use" state="visible" r:id="rId7"/>
  </sheets>
  <calcPr calcId="171027"/>
</workbook>
</file>

<file path=xl/sharedStrings.xml><?xml version="1.0" encoding="utf-8"?>
<sst xmlns="http://schemas.openxmlformats.org/spreadsheetml/2006/main" count="150" uniqueCount="144">
  <si>
    <t>College Savings Calculator</t>
  </si>
  <si>
    <t>Project college costs and plan your 529 savings strategy</t>
  </si>
  <si>
    <t>by FinancialAha.com</t>
  </si>
  <si>
    <t>PROJECTED COLLEGE COST</t>
  </si>
  <si>
    <t>CURRENT SAVINGS</t>
  </si>
  <si>
    <t>PROJECTED SAVINGS AT 18</t>
  </si>
  <si>
    <t>total for all college years</t>
  </si>
  <si>
    <t>current 529 balance</t>
  </si>
  <si>
    <t>at college start age</t>
  </si>
  <si>
    <t>SAVINGS GAP</t>
  </si>
  <si>
    <t>REQUIRED MONTHLY</t>
  </si>
  <si>
    <t>% FUNDED</t>
  </si>
  <si>
    <t>after savings and scholarships</t>
  </si>
  <si>
    <t>to close the gap</t>
  </si>
  <si>
    <t>of total college cost</t>
  </si>
  <si>
    <t>SAVINGS GROWTH VS COLLEGE COST</t>
  </si>
  <si>
    <t>FUNDING SOURCES</t>
  </si>
  <si>
    <t>Created with FinancialAha.com - Free financial tools and templates</t>
  </si>
  <si>
    <t>Get a premium spreadsheet from FinancialAha.com</t>
  </si>
  <si>
    <t/>
  </si>
  <si>
    <t>Age 5</t>
  </si>
  <si>
    <t>Age 6</t>
  </si>
  <si>
    <t>Age 7</t>
  </si>
  <si>
    <t>Age 8</t>
  </si>
  <si>
    <t>Age 9</t>
  </si>
  <si>
    <t>Age 10</t>
  </si>
  <si>
    <t>Age 11</t>
  </si>
  <si>
    <t>Age 12</t>
  </si>
  <si>
    <t>Age 13</t>
  </si>
  <si>
    <t>Age 14</t>
  </si>
  <si>
    <t>Age 15</t>
  </si>
  <si>
    <t>Age 16</t>
  </si>
  <si>
    <t>Age 17</t>
  </si>
  <si>
    <t>Age 18</t>
  </si>
  <si>
    <t>Age 19</t>
  </si>
  <si>
    <t>Age 20</t>
  </si>
  <si>
    <t>Age 21</t>
  </si>
  <si>
    <t>Age 22</t>
  </si>
  <si>
    <t>Savings Balance</t>
  </si>
  <si>
    <t>Cumulative Cost</t>
  </si>
  <si>
    <t>Source</t>
  </si>
  <si>
    <t>529 Savings</t>
  </si>
  <si>
    <t>Scholarships</t>
  </si>
  <si>
    <t>Loans/Gap</t>
  </si>
  <si>
    <t>Amount</t>
  </si>
  <si>
    <t>College Setup</t>
  </si>
  <si>
    <t>Enter your details in the yellow cells. All projections update automatically.</t>
  </si>
  <si>
    <t>CHILD &amp; COLLEGE DETAILS</t>
  </si>
  <si>
    <t>Child's Current Age</t>
  </si>
  <si>
    <t>Your child's age today</t>
  </si>
  <si>
    <t>College Start Age</t>
  </si>
  <si>
    <t>Age when college begins (typically 18)</t>
  </si>
  <si>
    <t>Current Annual Tuition</t>
  </si>
  <si>
    <t>Today's tuition cost per year</t>
  </si>
  <si>
    <t>Tuition Inflation Rate</t>
  </si>
  <si>
    <t>College costs rise about 5% per year</t>
  </si>
  <si>
    <t>Years of College</t>
  </si>
  <si>
    <t>4 years for a bachelor's degree</t>
  </si>
  <si>
    <t>Current 529 Balance</t>
  </si>
  <si>
    <t>What you have saved so far</t>
  </si>
  <si>
    <t>Monthly Contribution</t>
  </si>
  <si>
    <t>Amount you save each month</t>
  </si>
  <si>
    <t>Expected Annual Return</t>
  </si>
  <si>
    <t>7% is a common long-term average</t>
  </si>
  <si>
    <t>Scholarship Estimate (per year)</t>
  </si>
  <si>
    <t>Expected annual scholarship aid</t>
  </si>
  <si>
    <t>CALCULATED RESULTS</t>
  </si>
  <si>
    <t>Years Until College</t>
  </si>
  <si>
    <t>Total Projected College Cost</t>
  </si>
  <si>
    <t>Inflation-adjusted total</t>
  </si>
  <si>
    <t>Projected Savings at College Start</t>
  </si>
  <si>
    <t>Balance when college begins</t>
  </si>
  <si>
    <t>Total Scholarships</t>
  </si>
  <si>
    <t>Over all college years</t>
  </si>
  <si>
    <t>Savings Gap</t>
  </si>
  <si>
    <t>Amount still needed</t>
  </si>
  <si>
    <t>Required Monthly to Close Gap</t>
  </si>
  <si>
    <t>Extra monthly savings needed</t>
  </si>
  <si>
    <t>Percent Funded</t>
  </si>
  <si>
    <t>How much of the cost is covered</t>
  </si>
  <si>
    <t>Year-by-Year College Savings Projection</t>
  </si>
  <si>
    <t>Accumulation phase followed by college drawdown. All values update from the Setup sheet.</t>
  </si>
  <si>
    <t>Year</t>
  </si>
  <si>
    <t>Child's Age</t>
  </si>
  <si>
    <t>Starting Balance</t>
  </si>
  <si>
    <t>Contributions</t>
  </si>
  <si>
    <t>Growth</t>
  </si>
  <si>
    <t>Cost That Year</t>
  </si>
  <si>
    <t>Ending Balance</t>
  </si>
  <si>
    <t>How to Use This Template</t>
  </si>
  <si>
    <t>A quick guide to planning your college savings with the 529 Calculator.</t>
  </si>
  <si>
    <t>GETTING STARTED</t>
  </si>
  <si>
    <t>1. Go to the "College Setup" sheet</t>
  </si>
  <si>
    <t>2. Enter your details in the yellow cells - child's age, tuition, savings, and contributions</t>
  </si>
  <si>
    <t>3. The Projection Table updates automatically with year-by-year projections</t>
  </si>
  <si>
    <t>4. Check the Dashboard for a visual overview of your college savings outlook</t>
  </si>
  <si>
    <t>5. Adjust inputs to explore different scenarios (more savings, different schools, etc.)</t>
  </si>
  <si>
    <t>UNDERSTANDING THE INPUTS</t>
  </si>
  <si>
    <t>Child's Current Age: How old your child is today - the starting point for projections.</t>
  </si>
  <si>
    <t>College Start Age: When college begins - typically 18.</t>
  </si>
  <si>
    <t>Current Annual Tuition: What a year of college costs today at your target school.</t>
  </si>
  <si>
    <t>Tuition Inflation Rate: How fast college costs rise - 5% is a common estimate.</t>
  </si>
  <si>
    <t>Years of College: 4 for a bachelor's degree, 2 for an associate's, etc.</t>
  </si>
  <si>
    <t>Current 529 Balance: What you have saved so far in a 529 or other college savings account.</t>
  </si>
  <si>
    <t>Monthly Contribution: How much you plan to save each month going forward.</t>
  </si>
  <si>
    <t>Expected Annual Return: Average investment return - 7% is common for a growth portfolio.</t>
  </si>
  <si>
    <t>Scholarship Estimate: Expected annual scholarship or grant aid per year.</t>
  </si>
  <si>
    <t>UNDERSTANDING THE PROJECTION TABLE</t>
  </si>
  <si>
    <t>The table shows two phases: accumulation (saving) and drawdown (paying tuition).</t>
  </si>
  <si>
    <t>During accumulation, monthly contributions and investment growth build your balance.</t>
  </si>
  <si>
    <t>When college begins, tuition costs are deducted each year from the balance.</t>
  </si>
  <si>
    <t>The highlighted row marks the transition from saving to college spending.</t>
  </si>
  <si>
    <t>If the ending balance reaches $0 before college ends, it means savings would run out.</t>
  </si>
  <si>
    <t>The "Cost That Year" column shows inflation-adjusted tuition for each college year.</t>
  </si>
  <si>
    <t>UNDERSTANDING THE DASHBOARD</t>
  </si>
  <si>
    <t>Projected College Cost: Total inflation-adjusted cost for all years of college.</t>
  </si>
  <si>
    <t>Current Savings: Your 529 balance today.</t>
  </si>
  <si>
    <t>Projected Savings at 18: Estimated balance when college starts.</t>
  </si>
  <si>
    <t>Savings Gap: How much more is needed beyond savings and scholarships.</t>
  </si>
  <si>
    <t>Required Monthly: The extra monthly savings needed to close the gap.</t>
  </si>
  <si>
    <t>% Funded: What portion of the total cost is covered by projected savings and scholarships.</t>
  </si>
  <si>
    <t>The line chart shows how your savings grow and then decrease during college.</t>
  </si>
  <si>
    <t>The pie chart shows how college costs would be funded - savings, scholarships, and any gap.</t>
  </si>
  <si>
    <t>SCENARIOS TO TRY</t>
  </si>
  <si>
    <t>What if tuition is higher? Increase the Current Annual Tuition.</t>
  </si>
  <si>
    <t>What if I save more each month? Increase the Monthly Contribution.</t>
  </si>
  <si>
    <t>What if returns are lower? Try 5% or 6% for Expected Annual Return.</t>
  </si>
  <si>
    <t>What about community college first? Set Years of College to 2 and lower tuition.</t>
  </si>
  <si>
    <t>What if my child gets a scholarship? Increase the Scholarship Estimate.</t>
  </si>
  <si>
    <t>What if college is delayed a year? Change the College Start Age to 19.</t>
  </si>
  <si>
    <t>COLOR CODING</t>
  </si>
  <si>
    <t>Yellow cells with a gold border are editable inputs - enter your data here.</t>
  </si>
  <si>
    <t>Green-tinted cells are calculated results - formulas update automatically.</t>
  </si>
  <si>
    <t>The highlighted row in the Projection Table marks the start of college.</t>
  </si>
  <si>
    <t>IMPORTANT NOTES</t>
  </si>
  <si>
    <t>This calculator provides estimates based on simplified assumptions.</t>
  </si>
  <si>
    <t>Actual investment returns vary year to year - this uses a constant average.</t>
  </si>
  <si>
    <t>Tuition inflation may differ from the general inflation rate.</t>
  </si>
  <si>
    <t>529 plan tax benefits are not modeled - consult a tax professional for details.</t>
  </si>
  <si>
    <t>Room, board, and other expenses are not included - add them to the tuition figure if desired.</t>
  </si>
  <si>
    <t>Scholarships are not guaranteed - consider running scenarios with and without them.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</si>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</sst>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21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B91C1C"/>
      <sz val="20"/>
      <name val="Aptos"/>
    </font>
    <font>
      <b/>
      <color rgb="1A1D26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FFFFFF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top"/>
    </xf>
    <xf numFmtId="9" fontId="7" fillId="0" borderId="2" xfId="0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Protection="1"/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wrapText="1" indent="1"/>
    </xf>
    <xf numFmtId="0" fontId="15" fillId="0" borderId="0" xfId="0" applyFont="1" applyAlignment="1" applyProtection="1">
      <alignment horizontal="left" vertical="center" indent="1"/>
    </xf>
    <xf numFmtId="3" fontId="16" fillId="2" borderId="5" xfId="0" applyNumberFormat="1" applyFont="1" applyFill="1" applyBorder="1" applyAlignment="1" applyProtection="1">
      <alignment horizontal="right" vertical="center"/>
      <protection locked="0"/>
    </xf>
    <xf numFmtId="164" fontId="16" fillId="2" borderId="5" xfId="0" applyNumberFormat="1" applyFont="1" applyFill="1" applyBorder="1" applyAlignment="1" applyProtection="1">
      <alignment horizontal="right" vertical="center"/>
      <protection locked="0"/>
    </xf>
    <xf numFmtId="10" fontId="16" fillId="2" borderId="5" xfId="0" applyNumberFormat="1" applyFont="1" applyFill="1" applyBorder="1" applyAlignment="1" applyProtection="1">
      <alignment horizontal="right" vertical="center"/>
      <protection locked="0"/>
    </xf>
    <xf numFmtId="3" fontId="17" fillId="3" borderId="6" xfId="0" applyNumberFormat="1" applyFont="1" applyFill="1" applyBorder="1" applyAlignment="1" applyProtection="1">
      <alignment horizontal="right" vertical="center"/>
    </xf>
    <xf numFmtId="164" fontId="17" fillId="3" borderId="6" xfId="0" applyNumberFormat="1" applyFont="1" applyFill="1" applyBorder="1" applyAlignment="1" applyProtection="1">
      <alignment horizontal="right" vertical="center"/>
    </xf>
    <xf numFmtId="9" fontId="17" fillId="3" borderId="6" xfId="0" applyNumberFormat="1" applyFont="1" applyFill="1" applyBorder="1" applyAlignment="1" applyProtection="1">
      <alignment horizontal="right" vertical="center"/>
    </xf>
    <xf numFmtId="0" fontId="18" fillId="4" borderId="0" xfId="0" applyFont="1" applyFill="1" applyAlignment="1" applyProtection="1">
      <alignment horizontal="left" vertical="center" wrapText="1" indent="1"/>
    </xf>
    <xf numFmtId="0" fontId="18" fillId="4" borderId="0" xfId="0" applyFont="1" applyFill="1" applyAlignment="1" applyProtection="1">
      <alignment horizontal="center" vertical="center" wrapText="1"/>
    </xf>
    <xf numFmtId="0" fontId="16" fillId="0" borderId="7" xfId="0" applyFont="1" applyBorder="1" applyAlignment="1" applyProtection="1">
      <alignment vertical="center" indent="1"/>
    </xf>
    <xf numFmtId="164" fontId="16" fillId="0" borderId="7" xfId="0" applyNumberFormat="1" applyFont="1" applyBorder="1" applyAlignment="1" applyProtection="1">
      <alignment horizontal="right" vertical="center"/>
    </xf>
    <xf numFmtId="0" fontId="16" fillId="5" borderId="7" xfId="0" applyFont="1" applyFill="1" applyBorder="1" applyAlignment="1" applyProtection="1">
      <alignment vertical="center" indent="1"/>
    </xf>
    <xf numFmtId="164" fontId="16" fillId="5" borderId="7" xfId="0" applyNumberFormat="1" applyFont="1" applyFill="1" applyBorder="1" applyAlignment="1" applyProtection="1">
      <alignment horizontal="right" vertical="center"/>
    </xf>
    <xf numFmtId="0" fontId="16" fillId="3" borderId="7" xfId="0" applyFont="1" applyFill="1" applyBorder="1" applyAlignment="1" applyProtection="1">
      <alignment vertical="center" indent="1"/>
    </xf>
    <xf numFmtId="164" fontId="16" fillId="3" borderId="7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Savings Growth vs College Cost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Dashboard!$B$47</c:f>
              <c:strCache>
                <c:ptCount val="1"/>
                <c:pt idx="0">
                  <c:v>Savings Balance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Dashboard!$C$46:$T$46</c:f>
              <c:strCache>
                <c:ptCount val="18"/>
                <c:pt idx="0">
                  <c:v>Age 5</c:v>
                </c:pt>
                <c:pt idx="1">
                  <c:v>Age 6</c:v>
                </c:pt>
                <c:pt idx="2">
                  <c:v>Age 7</c:v>
                </c:pt>
                <c:pt idx="3">
                  <c:v>Age 8</c:v>
                </c:pt>
                <c:pt idx="4">
                  <c:v>Age 9</c:v>
                </c:pt>
                <c:pt idx="5">
                  <c:v>Age 10</c:v>
                </c:pt>
                <c:pt idx="6">
                  <c:v>Age 11</c:v>
                </c:pt>
                <c:pt idx="7">
                  <c:v>Age 12</c:v>
                </c:pt>
                <c:pt idx="8">
                  <c:v>Age 13</c:v>
                </c:pt>
                <c:pt idx="9">
                  <c:v>Age 14</c:v>
                </c:pt>
                <c:pt idx="10">
                  <c:v>Age 15</c:v>
                </c:pt>
                <c:pt idx="11">
                  <c:v>Age 16</c:v>
                </c:pt>
                <c:pt idx="12">
                  <c:v>Age 17</c:v>
                </c:pt>
                <c:pt idx="13">
                  <c:v>Age 18</c:v>
                </c:pt>
                <c:pt idx="14">
                  <c:v>Age 19</c:v>
                </c:pt>
                <c:pt idx="15">
                  <c:v>Age 20</c:v>
                </c:pt>
                <c:pt idx="16">
                  <c:v>Age 21</c:v>
                </c:pt>
                <c:pt idx="17">
                  <c:v>Age 22</c:v>
                </c:pt>
              </c:strCache>
            </c:strRef>
          </c:cat>
          <c:val>
            <c:numRef>
              <c:f>Dashboard!$C$47:$T$47</c:f>
              <c:numCache>
                <c:formatCode>$#,##0</c:formatCode>
                <c:ptCount val="18"/>
                <c:pt idx="0">
                  <c:v>12000</c:v>
                </c:pt>
                <c:pt idx="1">
                  <c:v>16440</c:v>
                </c:pt>
                <c:pt idx="2">
                  <c:v>21191</c:v>
                </c:pt>
                <c:pt idx="3">
                  <c:v>26274</c:v>
                </c:pt>
                <c:pt idx="4">
                  <c:v>31713</c:v>
                </c:pt>
                <c:pt idx="5">
                  <c:v>37533</c:v>
                </c:pt>
                <c:pt idx="6">
                  <c:v>43761</c:v>
                </c:pt>
                <c:pt idx="7">
                  <c:v>50424</c:v>
                </c:pt>
                <c:pt idx="8">
                  <c:v>57554</c:v>
                </c:pt>
                <c:pt idx="9">
                  <c:v>65182</c:v>
                </c:pt>
                <c:pt idx="10">
                  <c:v>73345</c:v>
                </c:pt>
                <c:pt idx="11">
                  <c:v>82079</c:v>
                </c:pt>
                <c:pt idx="12">
                  <c:v>91425</c:v>
                </c:pt>
                <c:pt idx="13">
                  <c:v>101424</c:v>
                </c:pt>
                <c:pt idx="14">
                  <c:v>61383</c:v>
                </c:pt>
                <c:pt idx="15">
                  <c:v>16181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Dashboard!$B$48</c:f>
              <c:strCache>
                <c:ptCount val="1"/>
                <c:pt idx="0">
                  <c:v>Cumulative Cost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cat>
            <c:strRef>
              <c:f>Dashboard!$C$46:$T$46</c:f>
              <c:strCache>
                <c:ptCount val="18"/>
                <c:pt idx="0">
                  <c:v>Age 5</c:v>
                </c:pt>
                <c:pt idx="1">
                  <c:v>Age 6</c:v>
                </c:pt>
                <c:pt idx="2">
                  <c:v>Age 7</c:v>
                </c:pt>
                <c:pt idx="3">
                  <c:v>Age 8</c:v>
                </c:pt>
                <c:pt idx="4">
                  <c:v>Age 9</c:v>
                </c:pt>
                <c:pt idx="5">
                  <c:v>Age 10</c:v>
                </c:pt>
                <c:pt idx="6">
                  <c:v>Age 11</c:v>
                </c:pt>
                <c:pt idx="7">
                  <c:v>Age 12</c:v>
                </c:pt>
                <c:pt idx="8">
                  <c:v>Age 13</c:v>
                </c:pt>
                <c:pt idx="9">
                  <c:v>Age 14</c:v>
                </c:pt>
                <c:pt idx="10">
                  <c:v>Age 15</c:v>
                </c:pt>
                <c:pt idx="11">
                  <c:v>Age 16</c:v>
                </c:pt>
                <c:pt idx="12">
                  <c:v>Age 17</c:v>
                </c:pt>
                <c:pt idx="13">
                  <c:v>Age 18</c:v>
                </c:pt>
                <c:pt idx="14">
                  <c:v>Age 19</c:v>
                </c:pt>
                <c:pt idx="15">
                  <c:v>Age 20</c:v>
                </c:pt>
                <c:pt idx="16">
                  <c:v>Age 21</c:v>
                </c:pt>
                <c:pt idx="17">
                  <c:v>Age 22</c:v>
                </c:pt>
              </c:strCache>
            </c:strRef>
          </c:cat>
          <c:val>
            <c:numRef>
              <c:f>Dashboard!$C$48:$T$48</c:f>
              <c:numCache>
                <c:formatCode>$#,##0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47141</c:v>
                </c:pt>
                <c:pt idx="15">
                  <c:v>96640</c:v>
                </c:pt>
                <c:pt idx="16">
                  <c:v>148613</c:v>
                </c:pt>
                <c:pt idx="17">
                  <c:v>203185</c:v>
                </c:pt>
              </c:numCache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Funding Sources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Dashboard!$B$50</c:f>
              <c:strCache>
                <c:ptCount val="1"/>
                <c:pt idx="0">
                  <c:v>Amount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C27D38"/>
              </a:solidFill>
              <a:ln>
                <a:noFill/>
              </a:ln>
            </c:spPr>
          </c:dPt>
          <c:cat>
            <c:strRef>
              <c:f>Dashboard!$C$49:$E$49</c:f>
              <c:strCache>
                <c:ptCount val="3"/>
                <c:pt idx="0">
                  <c:v>529 Savings</c:v>
                </c:pt>
                <c:pt idx="1">
                  <c:v>Scholarships</c:v>
                </c:pt>
                <c:pt idx="2">
                  <c:v>Loans/Gap</c:v>
                </c:pt>
              </c:strCache>
            </c:strRef>
          </c:cat>
          <c:val>
            <c:numRef>
              <c:f>Dashboard!$C$50:$E$50</c:f>
              <c:numCache>
                <c:formatCode>$#,##0</c:formatCode>
                <c:ptCount val="3"/>
                <c:pt idx="0">
                  <c:v>101424</c:v>
                </c:pt>
                <c:pt idx="1">
                  <c:v>20000</c:v>
                </c:pt>
                <c:pt idx="2">
                  <c:v>81761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33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9</xdr:col>
      <xdr:colOff>0</xdr:colOff>
      <xdr:row>50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T50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'College Setup'!E23</f>
        <v>203185</v>
      </c>
      <c r="C5" s="5"/>
      <c r="E5" s="6">
        <f>'College Setup'!E14</f>
        <v>12000</v>
      </c>
      <c r="F5" s="6"/>
      <c r="H5" s="7">
        <f>'College Setup'!E24</f>
        <v>101424</v>
      </c>
      <c r="I5" s="7"/>
    </row>
    <row r="6" ht="20" customHeight="1" spans="2:9" x14ac:dyDescent="0.25">
      <c r="B6" s="8" t="s">
        <v>6</v>
      </c>
      <c r="C6" s="8"/>
      <c r="E6" s="8" t="s">
        <v>7</v>
      </c>
      <c r="F6" s="8"/>
      <c r="H6" s="8" t="s">
        <v>8</v>
      </c>
      <c r="I6" s="8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5">
        <f>'College Setup'!E26</f>
        <v>81761</v>
      </c>
      <c r="C9" s="5"/>
      <c r="E9" s="6">
        <f>'College Setup'!E27</f>
        <v>323</v>
      </c>
      <c r="F9" s="6"/>
      <c r="H9" s="9">
        <f>'College Setup'!E28</f>
        <v>0.5976043820608844</v>
      </c>
      <c r="I9" s="9"/>
    </row>
    <row r="10" ht="20" customHeight="1" spans="2:9" x14ac:dyDescent="0.25">
      <c r="B10" s="8" t="s">
        <v>12</v>
      </c>
      <c r="C10" s="8"/>
      <c r="E10" s="8" t="s">
        <v>13</v>
      </c>
      <c r="F10" s="8"/>
      <c r="H10" s="8" t="s">
        <v>14</v>
      </c>
      <c r="I10" s="8"/>
    </row>
    <row r="11" ht="14" customHeight="1" x14ac:dyDescent="0.25"/>
    <row r="12" ht="28" customHeight="1" spans="2:9" x14ac:dyDescent="0.25">
      <c r="B12" s="10" t="s">
        <v>15</v>
      </c>
      <c r="C12" s="11"/>
      <c r="D12" s="11"/>
      <c r="E12" s="11"/>
      <c r="F12" s="11"/>
      <c r="G12" s="11"/>
      <c r="H12" s="11"/>
      <c r="I12" s="11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0" t="s">
        <v>16</v>
      </c>
      <c r="C29" s="11"/>
      <c r="D29" s="11"/>
      <c r="E29" s="11"/>
      <c r="F29" s="11"/>
      <c r="G29" s="11"/>
      <c r="H29" s="11"/>
      <c r="I29" s="11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4" customHeight="1" x14ac:dyDescent="0.25"/>
    <row r="43" ht="6" customHeight="1" x14ac:dyDescent="0.25"/>
    <row r="44" ht="20" customHeight="1" spans="1:9" x14ac:dyDescent="0.25">
      <c r="A44" s="12" t="s">
        <v>17</v>
      </c>
      <c r="B44" s="12"/>
      <c r="C44" s="12"/>
      <c r="D44" s="12"/>
      <c r="E44" s="12"/>
      <c r="F44" s="12"/>
      <c r="G44" s="12"/>
      <c r="H44" s="12"/>
      <c r="I44" s="12"/>
    </row>
    <row r="45" ht="20" customHeight="1" spans="1:9" x14ac:dyDescent="0.25">
      <c r="A45" s="13" t="s">
        <v>18</v>
      </c>
      <c r="B45" s="13"/>
      <c r="C45" s="13"/>
      <c r="D45" s="13"/>
      <c r="E45" s="13"/>
      <c r="F45" s="13"/>
      <c r="G45" s="13"/>
      <c r="H45" s="13"/>
      <c r="I45" s="13"/>
    </row>
    <row r="46" ht="1" customHeight="1" spans="2:20" x14ac:dyDescent="0.25">
      <c r="B46" s="14" t="s">
        <v>19</v>
      </c>
      <c r="C46" s="14" t="s">
        <v>20</v>
      </c>
      <c r="D46" s="14" t="s">
        <v>21</v>
      </c>
      <c r="E46" s="14" t="s">
        <v>22</v>
      </c>
      <c r="F46" s="14" t="s">
        <v>23</v>
      </c>
      <c r="G46" s="14" t="s">
        <v>24</v>
      </c>
      <c r="H46" s="14" t="s">
        <v>25</v>
      </c>
      <c r="I46" s="14" t="s">
        <v>26</v>
      </c>
      <c r="J46" s="14" t="s">
        <v>27</v>
      </c>
      <c r="K46" s="14" t="s">
        <v>28</v>
      </c>
      <c r="L46" s="14" t="s">
        <v>29</v>
      </c>
      <c r="M46" s="14" t="s">
        <v>30</v>
      </c>
      <c r="N46" s="14" t="s">
        <v>31</v>
      </c>
      <c r="O46" s="14" t="s">
        <v>32</v>
      </c>
      <c r="P46" s="14" t="s">
        <v>33</v>
      </c>
      <c r="Q46" s="14" t="s">
        <v>34</v>
      </c>
      <c r="R46" s="14" t="s">
        <v>35</v>
      </c>
      <c r="S46" s="14" t="s">
        <v>36</v>
      </c>
      <c r="T46" s="14" t="s">
        <v>37</v>
      </c>
    </row>
    <row r="47" ht="1" customHeight="1" spans="2:20" x14ac:dyDescent="0.25">
      <c r="B47" s="14" t="s">
        <v>38</v>
      </c>
      <c r="C47" s="14">
        <f>'College Setup'!E14</f>
        <v>12000</v>
      </c>
      <c r="D47" s="14">
        <f>IFERROR('Projection Table'!G5,0)</f>
        <v>16440</v>
      </c>
      <c r="E47" s="14">
        <f>IFERROR('Projection Table'!G6,0)</f>
        <v>21191</v>
      </c>
      <c r="F47" s="14">
        <f>IFERROR('Projection Table'!G7,0)</f>
        <v>26274</v>
      </c>
      <c r="G47" s="14">
        <f>IFERROR('Projection Table'!G8,0)</f>
        <v>31713</v>
      </c>
      <c r="H47" s="14">
        <f>IFERROR('Projection Table'!G9,0)</f>
        <v>37533</v>
      </c>
      <c r="I47" s="14">
        <f>IFERROR('Projection Table'!G10,0)</f>
        <v>43761</v>
      </c>
      <c r="J47" s="14">
        <f>IFERROR('Projection Table'!G11,0)</f>
        <v>50424</v>
      </c>
      <c r="K47" s="14">
        <f>IFERROR('Projection Table'!G12,0)</f>
        <v>57554</v>
      </c>
      <c r="L47" s="14">
        <f>IFERROR('Projection Table'!G13,0)</f>
        <v>65182</v>
      </c>
      <c r="M47" s="14">
        <f>IFERROR('Projection Table'!G14,0)</f>
        <v>73345</v>
      </c>
      <c r="N47" s="14">
        <f>IFERROR('Projection Table'!G15,0)</f>
        <v>82079</v>
      </c>
      <c r="O47" s="14">
        <f>IFERROR('Projection Table'!G16,0)</f>
        <v>91425</v>
      </c>
      <c r="P47" s="14">
        <f>IFERROR('Projection Table'!G17,0)</f>
        <v>101424</v>
      </c>
      <c r="Q47" s="14">
        <f>IFERROR('Projection Table'!G18,0)</f>
        <v>61383</v>
      </c>
      <c r="R47" s="14">
        <f>IFERROR('Projection Table'!G19,0)</f>
        <v>16181</v>
      </c>
      <c r="S47" s="14">
        <f>IFERROR('Projection Table'!G20,0)</f>
        <v>0</v>
      </c>
      <c r="T47" s="14">
        <f>IFERROR('Projection Table'!G21,0)</f>
        <v>0</v>
      </c>
    </row>
    <row r="48" ht="1" customHeight="1" spans="2:20" x14ac:dyDescent="0.25"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47141</v>
      </c>
      <c r="R48" s="14">
        <v>96640</v>
      </c>
      <c r="S48" s="14">
        <v>148613</v>
      </c>
      <c r="T48" s="14">
        <v>203185</v>
      </c>
    </row>
    <row r="49" ht="1" customHeight="1" spans="2:5" x14ac:dyDescent="0.25">
      <c r="B49" s="14" t="s">
        <v>40</v>
      </c>
      <c r="C49" s="14" t="s">
        <v>41</v>
      </c>
      <c r="D49" s="14" t="s">
        <v>42</v>
      </c>
      <c r="E49" s="14" t="s">
        <v>43</v>
      </c>
    </row>
    <row r="50" ht="1" customHeight="1" spans="2:5" x14ac:dyDescent="0.25">
      <c r="B50" s="14" t="s">
        <v>44</v>
      </c>
      <c r="C50" s="14">
        <f>MIN('College Setup'!E24,'College Setup'!E23)</f>
        <v>101424</v>
      </c>
      <c r="D50" s="14">
        <f>MIN('College Setup'!E25,MAX(0,'College Setup'!E23-MIN('College Setup'!E24,'College Setup'!E23)))</f>
        <v>20000</v>
      </c>
      <c r="E50" s="14">
        <f>MAX(0,'College Setup'!E23-MIN('College Setup'!E24,'College Setup'!E23)-MIN('College Setup'!E25,MAX(0,'College Setup'!E23-MIN('College Setup'!E24,'College Setup'!E23))))</f>
        <v>81761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4:I44"/>
    <mergeCell ref="A45:I45"/>
  </mergeCells>
  <hyperlinks>
    <hyperlink ref="G2" r:id="rId1"/>
    <hyperlink ref="A45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3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6" customWidth="1"/>
    <col min="3" max="3" width="28" customWidth="1"/>
    <col min="4" max="4" width="3" customWidth="1"/>
    <col min="5" max="5" width="18" customWidth="1"/>
    <col min="6" max="6" width="28" customWidth="1"/>
    <col min="8" max="8" width="20" customWidth="1"/>
  </cols>
  <sheetData>
    <row r="1" ht="48" customHeight="1" spans="2:6" x14ac:dyDescent="0.25">
      <c r="B1" s="15" t="s">
        <v>45</v>
      </c>
      <c r="C1" s="15"/>
      <c r="D1" s="15"/>
      <c r="E1" s="15"/>
      <c r="F1" s="15"/>
    </row>
    <row r="2" ht="24" customHeight="1" spans="2:6" x14ac:dyDescent="0.25">
      <c r="B2" s="16" t="s">
        <v>46</v>
      </c>
      <c r="C2" s="16"/>
      <c r="D2" s="16"/>
      <c r="E2" s="16"/>
      <c r="F2" s="16"/>
    </row>
    <row r="3" ht="14" customHeight="1" x14ac:dyDescent="0.25"/>
    <row r="4" ht="28" customHeight="1" spans="1:6" x14ac:dyDescent="0.25">
      <c r="A4" s="10" t="s">
        <v>47</v>
      </c>
      <c r="B4" s="11"/>
      <c r="C4" s="11"/>
      <c r="D4" s="11"/>
      <c r="E4" s="11"/>
      <c r="F4" s="11"/>
    </row>
    <row r="5" ht="6" customHeight="1" x14ac:dyDescent="0.25"/>
    <row r="7" ht="26" customHeight="1" spans="3:6" x14ac:dyDescent="0.25">
      <c r="C7" s="17" t="s">
        <v>48</v>
      </c>
      <c r="E7" s="18">
        <v>5</v>
      </c>
      <c r="F7" s="16" t="s">
        <v>49</v>
      </c>
    </row>
    <row r="8" ht="26" customHeight="1" spans="3:6" x14ac:dyDescent="0.25">
      <c r="C8" s="17" t="s">
        <v>50</v>
      </c>
      <c r="E8" s="18">
        <v>18</v>
      </c>
      <c r="F8" s="16" t="s">
        <v>51</v>
      </c>
    </row>
    <row r="9" ht="8" customHeight="1" x14ac:dyDescent="0.25"/>
    <row r="10" ht="26" customHeight="1" spans="3:6" x14ac:dyDescent="0.25">
      <c r="C10" s="17" t="s">
        <v>52</v>
      </c>
      <c r="E10" s="19">
        <v>25000</v>
      </c>
      <c r="F10" s="16" t="s">
        <v>53</v>
      </c>
    </row>
    <row r="11" ht="26" customHeight="1" spans="3:6" x14ac:dyDescent="0.25">
      <c r="C11" s="17" t="s">
        <v>54</v>
      </c>
      <c r="E11" s="20">
        <v>0.05</v>
      </c>
      <c r="F11" s="16" t="s">
        <v>55</v>
      </c>
    </row>
    <row r="12" ht="26" customHeight="1" spans="3:6" x14ac:dyDescent="0.25">
      <c r="C12" s="17" t="s">
        <v>56</v>
      </c>
      <c r="E12" s="18">
        <v>4</v>
      </c>
      <c r="F12" s="16" t="s">
        <v>57</v>
      </c>
    </row>
    <row r="13" ht="8" customHeight="1" x14ac:dyDescent="0.25"/>
    <row r="14" ht="26" customHeight="1" spans="3:6" x14ac:dyDescent="0.25">
      <c r="C14" s="17" t="s">
        <v>58</v>
      </c>
      <c r="E14" s="19">
        <v>12000</v>
      </c>
      <c r="F14" s="16" t="s">
        <v>59</v>
      </c>
    </row>
    <row r="15" ht="26" customHeight="1" spans="3:6" x14ac:dyDescent="0.25">
      <c r="C15" s="17" t="s">
        <v>60</v>
      </c>
      <c r="E15" s="19">
        <v>300</v>
      </c>
      <c r="F15" s="16" t="s">
        <v>61</v>
      </c>
    </row>
    <row r="16" ht="26" customHeight="1" spans="3:6" x14ac:dyDescent="0.25">
      <c r="C16" s="17" t="s">
        <v>62</v>
      </c>
      <c r="E16" s="20">
        <v>0.07</v>
      </c>
      <c r="F16" s="16" t="s">
        <v>63</v>
      </c>
    </row>
    <row r="17" ht="8" customHeight="1" x14ac:dyDescent="0.25"/>
    <row r="18" ht="26" customHeight="1" spans="3:6" x14ac:dyDescent="0.25">
      <c r="C18" s="17" t="s">
        <v>64</v>
      </c>
      <c r="E18" s="19">
        <v>5000</v>
      </c>
      <c r="F18" s="16" t="s">
        <v>65</v>
      </c>
    </row>
    <row r="19" ht="14" customHeight="1" x14ac:dyDescent="0.25"/>
    <row r="21" ht="28" customHeight="1" spans="1:6" x14ac:dyDescent="0.25">
      <c r="A21" s="10" t="s">
        <v>66</v>
      </c>
      <c r="B21" s="11"/>
      <c r="C21" s="11"/>
      <c r="D21" s="11"/>
      <c r="E21" s="11"/>
      <c r="F21" s="11"/>
    </row>
    <row r="22" ht="26" customHeight="1" spans="3:5" x14ac:dyDescent="0.25">
      <c r="C22" s="17" t="s">
        <v>67</v>
      </c>
      <c r="E22" s="21">
        <f>E8-E7</f>
        <v>13</v>
      </c>
    </row>
    <row r="23" ht="26" customHeight="1" spans="3:6" x14ac:dyDescent="0.25">
      <c r="C23" s="17" t="s">
        <v>68</v>
      </c>
      <c r="E23" s="22">
        <f>IF(E11=0,E10*E12,E10*(1+E11)^(E8-E7)*((1+E11)^E12-1)/E11)</f>
        <v>203185</v>
      </c>
      <c r="F23" s="16" t="s">
        <v>69</v>
      </c>
    </row>
    <row r="24" ht="26" customHeight="1" spans="3:6" x14ac:dyDescent="0.25">
      <c r="C24" s="17" t="s">
        <v>70</v>
      </c>
      <c r="E24" s="22">
        <f>IFERROR('Projection Table'!G17,0)</f>
        <v>101424</v>
      </c>
      <c r="F24" s="16" t="s">
        <v>71</v>
      </c>
    </row>
    <row r="25" ht="26" customHeight="1" spans="3:6" x14ac:dyDescent="0.25">
      <c r="C25" s="17" t="s">
        <v>72</v>
      </c>
      <c r="E25" s="22">
        <f>E18*E12</f>
        <v>20000</v>
      </c>
      <c r="F25" s="16" t="s">
        <v>73</v>
      </c>
    </row>
    <row r="26" ht="26" customHeight="1" spans="3:6" x14ac:dyDescent="0.25">
      <c r="C26" s="17" t="s">
        <v>74</v>
      </c>
      <c r="E26" s="22">
        <f>MAX(0,E23-E24-E25)</f>
        <v>81761</v>
      </c>
      <c r="F26" s="16" t="s">
        <v>75</v>
      </c>
    </row>
    <row r="27" ht="26" customHeight="1" spans="3:6" x14ac:dyDescent="0.25">
      <c r="C27" s="17" t="s">
        <v>76</v>
      </c>
      <c r="E27" s="22">
        <f>IF(E26&lt;=0,0,IF(E16=0,E26/(E22*12),E26*(E16/12)/((1+E16/12)^(E22*12)-1)))</f>
        <v>323</v>
      </c>
      <c r="F27" s="16" t="s">
        <v>77</v>
      </c>
    </row>
    <row r="28" ht="26" customHeight="1" spans="3:6" x14ac:dyDescent="0.25">
      <c r="C28" s="17" t="s">
        <v>78</v>
      </c>
      <c r="E28" s="23">
        <f>IF(E23=0,0,MIN(1,(E24+E25)/E23))</f>
        <v>0.5976043820608844</v>
      </c>
      <c r="F28" s="16" t="s">
        <v>79</v>
      </c>
    </row>
    <row r="29" ht="14" customHeight="1" x14ac:dyDescent="0.25"/>
    <row r="30" ht="6" customHeight="1" x14ac:dyDescent="0.25"/>
    <row r="31" ht="20" customHeight="1" spans="1:6" x14ac:dyDescent="0.25">
      <c r="A31" s="12" t="s">
        <v>17</v>
      </c>
      <c r="B31" s="12"/>
      <c r="C31" s="12"/>
      <c r="D31" s="12"/>
      <c r="E31" s="12"/>
      <c r="F31" s="12"/>
    </row>
    <row r="32" ht="20" customHeight="1" spans="1:6" x14ac:dyDescent="0.25">
      <c r="A32" s="13" t="s">
        <v>18</v>
      </c>
      <c r="B32" s="13"/>
      <c r="C32" s="13"/>
      <c r="D32" s="13"/>
      <c r="E32" s="13"/>
      <c r="F32" s="13"/>
    </row>
  </sheetData>
  <sheetProtection sheet="1"/>
  <mergeCells count="4">
    <mergeCell ref="B1:F1"/>
    <mergeCell ref="B2:F2"/>
    <mergeCell ref="A31:F31"/>
    <mergeCell ref="A32:F32"/>
  </mergeCells>
  <hyperlinks>
    <hyperlink ref="A3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G25"/>
  <sheetViews>
    <sheetView workbookViewId="0" showGridLines="0" zoomScale="11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10" customWidth="1"/>
    <col min="3" max="3" width="18" customWidth="1"/>
    <col min="4" max="5" width="16" customWidth="1"/>
    <col min="6" max="7" width="18" customWidth="1"/>
  </cols>
  <sheetData>
    <row r="1" ht="48" customHeight="1" spans="1:7" x14ac:dyDescent="0.25">
      <c r="A1" s="15" t="s">
        <v>80</v>
      </c>
      <c r="B1" s="15"/>
      <c r="C1" s="15"/>
      <c r="D1" s="15"/>
      <c r="E1" s="15"/>
      <c r="F1" s="15"/>
      <c r="G1" s="15"/>
    </row>
    <row r="2" ht="24" customHeight="1" spans="1:7" x14ac:dyDescent="0.25">
      <c r="A2" s="16" t="s">
        <v>81</v>
      </c>
      <c r="B2" s="16"/>
      <c r="C2" s="16"/>
      <c r="D2" s="16"/>
      <c r="E2" s="16"/>
      <c r="F2" s="16"/>
      <c r="G2" s="16"/>
    </row>
    <row r="3" ht="14" customHeight="1" x14ac:dyDescent="0.25"/>
    <row r="4" ht="32" customHeight="1" spans="1:7" x14ac:dyDescent="0.25">
      <c r="A4" s="24" t="s">
        <v>82</v>
      </c>
      <c r="B4" s="25" t="s">
        <v>83</v>
      </c>
      <c r="C4" s="25" t="s">
        <v>84</v>
      </c>
      <c r="D4" s="25" t="s">
        <v>85</v>
      </c>
      <c r="E4" s="25" t="s">
        <v>86</v>
      </c>
      <c r="F4" s="25" t="s">
        <v>87</v>
      </c>
      <c r="G4" s="25" t="s">
        <v>88</v>
      </c>
    </row>
    <row r="5" ht="26" customHeight="1" spans="1:7" x14ac:dyDescent="0.25">
      <c r="A5" s="26">
        <v>1</v>
      </c>
      <c r="B5" s="26">
        <f>'College Setup'!E7+0</f>
        <v>5</v>
      </c>
      <c r="C5" s="27">
        <f>'College Setup'!E14</f>
        <v>12000</v>
      </c>
      <c r="D5" s="27">
        <f>'College Setup'!E15*12</f>
        <v>3600</v>
      </c>
      <c r="E5" s="27">
        <f>IF(C5&lt;=0,0,C5*'College Setup'!E16)</f>
        <v>840</v>
      </c>
      <c r="F5" s="27">
        <v>0</v>
      </c>
      <c r="G5" s="27">
        <f>MAX(0,C5+D5+E5-F5)</f>
        <v>16440</v>
      </c>
    </row>
    <row r="6" ht="26" customHeight="1" spans="1:7" x14ac:dyDescent="0.25">
      <c r="A6" s="28">
        <v>2</v>
      </c>
      <c r="B6" s="28">
        <f>'College Setup'!E7+1</f>
        <v>6</v>
      </c>
      <c r="C6" s="29">
        <f>IF(G5&lt;0,0,G5)</f>
        <v>16440</v>
      </c>
      <c r="D6" s="29">
        <f>'College Setup'!E15*12</f>
        <v>3600</v>
      </c>
      <c r="E6" s="29">
        <f>IF(C6&lt;=0,0,C6*'College Setup'!E16)</f>
        <v>1151</v>
      </c>
      <c r="F6" s="29">
        <v>0</v>
      </c>
      <c r="G6" s="29">
        <f>MAX(0,C6+D6+E6-F6)</f>
        <v>21191</v>
      </c>
    </row>
    <row r="7" ht="26" customHeight="1" spans="1:7" x14ac:dyDescent="0.25">
      <c r="A7" s="26">
        <v>3</v>
      </c>
      <c r="B7" s="26">
        <f>'College Setup'!E7+2</f>
        <v>7</v>
      </c>
      <c r="C7" s="27">
        <f>IF(G6&lt;0,0,G6)</f>
        <v>21191</v>
      </c>
      <c r="D7" s="27">
        <f>'College Setup'!E15*12</f>
        <v>3600</v>
      </c>
      <c r="E7" s="27">
        <f>IF(C7&lt;=0,0,C7*'College Setup'!E16)</f>
        <v>1483</v>
      </c>
      <c r="F7" s="27">
        <v>0</v>
      </c>
      <c r="G7" s="27">
        <f>MAX(0,C7+D7+E7-F7)</f>
        <v>26274</v>
      </c>
    </row>
    <row r="8" ht="26" customHeight="1" spans="1:7" x14ac:dyDescent="0.25">
      <c r="A8" s="28">
        <v>4</v>
      </c>
      <c r="B8" s="28">
        <f>'College Setup'!E7+3</f>
        <v>8</v>
      </c>
      <c r="C8" s="29">
        <f>IF(G7&lt;0,0,G7)</f>
        <v>26274</v>
      </c>
      <c r="D8" s="29">
        <f>'College Setup'!E15*12</f>
        <v>3600</v>
      </c>
      <c r="E8" s="29">
        <f>IF(C8&lt;=0,0,C8*'College Setup'!E16)</f>
        <v>1839</v>
      </c>
      <c r="F8" s="29">
        <v>0</v>
      </c>
      <c r="G8" s="29">
        <f>MAX(0,C8+D8+E8-F8)</f>
        <v>31713</v>
      </c>
    </row>
    <row r="9" ht="26" customHeight="1" spans="1:7" x14ac:dyDescent="0.25">
      <c r="A9" s="26">
        <v>5</v>
      </c>
      <c r="B9" s="26">
        <f>'College Setup'!E7+4</f>
        <v>9</v>
      </c>
      <c r="C9" s="27">
        <f>IF(G8&lt;0,0,G8)</f>
        <v>31713</v>
      </c>
      <c r="D9" s="27">
        <f>'College Setup'!E15*12</f>
        <v>3600</v>
      </c>
      <c r="E9" s="27">
        <f>IF(C9&lt;=0,0,C9*'College Setup'!E16)</f>
        <v>2220</v>
      </c>
      <c r="F9" s="27">
        <v>0</v>
      </c>
      <c r="G9" s="27">
        <f>MAX(0,C9+D9+E9-F9)</f>
        <v>37533</v>
      </c>
    </row>
    <row r="10" ht="26" customHeight="1" spans="1:7" x14ac:dyDescent="0.25">
      <c r="A10" s="28">
        <v>6</v>
      </c>
      <c r="B10" s="28">
        <f>'College Setup'!E7+5</f>
        <v>10</v>
      </c>
      <c r="C10" s="29">
        <f>IF(G9&lt;0,0,G9)</f>
        <v>37533</v>
      </c>
      <c r="D10" s="29">
        <f>'College Setup'!E15*12</f>
        <v>3600</v>
      </c>
      <c r="E10" s="29">
        <f>IF(C10&lt;=0,0,C10*'College Setup'!E16)</f>
        <v>2627</v>
      </c>
      <c r="F10" s="29">
        <v>0</v>
      </c>
      <c r="G10" s="29">
        <f>MAX(0,C10+D10+E10-F10)</f>
        <v>43761</v>
      </c>
    </row>
    <row r="11" ht="26" customHeight="1" spans="1:7" x14ac:dyDescent="0.25">
      <c r="A11" s="26">
        <v>7</v>
      </c>
      <c r="B11" s="26">
        <f>'College Setup'!E7+6</f>
        <v>11</v>
      </c>
      <c r="C11" s="27">
        <f>IF(G10&lt;0,0,G10)</f>
        <v>43761</v>
      </c>
      <c r="D11" s="27">
        <f>'College Setup'!E15*12</f>
        <v>3600</v>
      </c>
      <c r="E11" s="27">
        <f>IF(C11&lt;=0,0,C11*'College Setup'!E16)</f>
        <v>3063</v>
      </c>
      <c r="F11" s="27">
        <v>0</v>
      </c>
      <c r="G11" s="27">
        <f>MAX(0,C11+D11+E11-F11)</f>
        <v>50424</v>
      </c>
    </row>
    <row r="12" ht="26" customHeight="1" spans="1:7" x14ac:dyDescent="0.25">
      <c r="A12" s="28">
        <v>8</v>
      </c>
      <c r="B12" s="28">
        <f>'College Setup'!E7+7</f>
        <v>12</v>
      </c>
      <c r="C12" s="29">
        <f>IF(G11&lt;0,0,G11)</f>
        <v>50424</v>
      </c>
      <c r="D12" s="29">
        <f>'College Setup'!E15*12</f>
        <v>3600</v>
      </c>
      <c r="E12" s="29">
        <f>IF(C12&lt;=0,0,C12*'College Setup'!E16)</f>
        <v>3530</v>
      </c>
      <c r="F12" s="29">
        <v>0</v>
      </c>
      <c r="G12" s="29">
        <f>MAX(0,C12+D12+E12-F12)</f>
        <v>57554</v>
      </c>
    </row>
    <row r="13" ht="26" customHeight="1" spans="1:7" x14ac:dyDescent="0.25">
      <c r="A13" s="26">
        <v>9</v>
      </c>
      <c r="B13" s="26">
        <f>'College Setup'!E7+8</f>
        <v>13</v>
      </c>
      <c r="C13" s="27">
        <f>IF(G12&lt;0,0,G12)</f>
        <v>57554</v>
      </c>
      <c r="D13" s="27">
        <f>'College Setup'!E15*12</f>
        <v>3600</v>
      </c>
      <c r="E13" s="27">
        <f>IF(C13&lt;=0,0,C13*'College Setup'!E16)</f>
        <v>4029</v>
      </c>
      <c r="F13" s="27">
        <v>0</v>
      </c>
      <c r="G13" s="27">
        <f>MAX(0,C13+D13+E13-F13)</f>
        <v>65182</v>
      </c>
    </row>
    <row r="14" ht="26" customHeight="1" spans="1:7" x14ac:dyDescent="0.25">
      <c r="A14" s="28">
        <v>10</v>
      </c>
      <c r="B14" s="28">
        <f>'College Setup'!E7+9</f>
        <v>14</v>
      </c>
      <c r="C14" s="29">
        <f>IF(G13&lt;0,0,G13)</f>
        <v>65182</v>
      </c>
      <c r="D14" s="29">
        <f>'College Setup'!E15*12</f>
        <v>3600</v>
      </c>
      <c r="E14" s="29">
        <f>IF(C14&lt;=0,0,C14*'College Setup'!E16)</f>
        <v>4563</v>
      </c>
      <c r="F14" s="29">
        <v>0</v>
      </c>
      <c r="G14" s="29">
        <f>MAX(0,C14+D14+E14-F14)</f>
        <v>73345</v>
      </c>
    </row>
    <row r="15" ht="26" customHeight="1" spans="1:7" x14ac:dyDescent="0.25">
      <c r="A15" s="26">
        <v>11</v>
      </c>
      <c r="B15" s="26">
        <f>'College Setup'!E7+10</f>
        <v>15</v>
      </c>
      <c r="C15" s="27">
        <f>IF(G14&lt;0,0,G14)</f>
        <v>73345</v>
      </c>
      <c r="D15" s="27">
        <f>'College Setup'!E15*12</f>
        <v>3600</v>
      </c>
      <c r="E15" s="27">
        <f>IF(C15&lt;=0,0,C15*'College Setup'!E16)</f>
        <v>5134</v>
      </c>
      <c r="F15" s="27">
        <v>0</v>
      </c>
      <c r="G15" s="27">
        <f>MAX(0,C15+D15+E15-F15)</f>
        <v>82079</v>
      </c>
    </row>
    <row r="16" ht="26" customHeight="1" spans="1:7" x14ac:dyDescent="0.25">
      <c r="A16" s="28">
        <v>12</v>
      </c>
      <c r="B16" s="28">
        <f>'College Setup'!E7+11</f>
        <v>16</v>
      </c>
      <c r="C16" s="29">
        <f>IF(G15&lt;0,0,G15)</f>
        <v>82079</v>
      </c>
      <c r="D16" s="29">
        <f>'College Setup'!E15*12</f>
        <v>3600</v>
      </c>
      <c r="E16" s="29">
        <f>IF(C16&lt;=0,0,C16*'College Setup'!E16)</f>
        <v>5746</v>
      </c>
      <c r="F16" s="29">
        <v>0</v>
      </c>
      <c r="G16" s="29">
        <f>MAX(0,C16+D16+E16-F16)</f>
        <v>91425</v>
      </c>
    </row>
    <row r="17" ht="26" customHeight="1" spans="1:7" x14ac:dyDescent="0.25">
      <c r="A17" s="26">
        <v>13</v>
      </c>
      <c r="B17" s="26">
        <f>'College Setup'!E7+12</f>
        <v>17</v>
      </c>
      <c r="C17" s="27">
        <f>IF(G16&lt;0,0,G16)</f>
        <v>91425</v>
      </c>
      <c r="D17" s="27">
        <f>'College Setup'!E15*12</f>
        <v>3600</v>
      </c>
      <c r="E17" s="27">
        <f>IF(C17&lt;=0,0,C17*'College Setup'!E16)</f>
        <v>6400</v>
      </c>
      <c r="F17" s="27">
        <v>0</v>
      </c>
      <c r="G17" s="27">
        <f>MAX(0,C17+D17+E17-F17)</f>
        <v>101424</v>
      </c>
    </row>
    <row r="18" ht="26" customHeight="1" spans="1:7" x14ac:dyDescent="0.25">
      <c r="A18" s="30">
        <v>14</v>
      </c>
      <c r="B18" s="30">
        <f>'College Setup'!E7+13</f>
        <v>18</v>
      </c>
      <c r="C18" s="31">
        <f>IF(G17&lt;0,0,G17)</f>
        <v>101424</v>
      </c>
      <c r="D18" s="31">
        <v>0</v>
      </c>
      <c r="E18" s="31">
        <f>IF(C18&lt;=0,0,C18*'College Setup'!E16)</f>
        <v>7100</v>
      </c>
      <c r="F18" s="31">
        <f>'College Setup'!E10*(1+'College Setup'!E11)^('College Setup'!E8-'College Setup'!E7+0)</f>
        <v>47141</v>
      </c>
      <c r="G18" s="31">
        <f>MAX(0,C18+D18+E18-F18)</f>
        <v>61383</v>
      </c>
    </row>
    <row r="19" ht="26" customHeight="1" spans="1:7" x14ac:dyDescent="0.25">
      <c r="A19" s="26">
        <v>15</v>
      </c>
      <c r="B19" s="26">
        <f>'College Setup'!E7+14</f>
        <v>19</v>
      </c>
      <c r="C19" s="27">
        <f>IF(G18&lt;0,0,G18)</f>
        <v>61383</v>
      </c>
      <c r="D19" s="27">
        <v>0</v>
      </c>
      <c r="E19" s="27">
        <f>IF(C19&lt;=0,0,C19*'College Setup'!E16)</f>
        <v>4297</v>
      </c>
      <c r="F19" s="27">
        <f>'College Setup'!E10*(1+'College Setup'!E11)^('College Setup'!E8-'College Setup'!E7+1)</f>
        <v>49498</v>
      </c>
      <c r="G19" s="27">
        <f>MAX(0,C19+D19+E19-F19)</f>
        <v>16181</v>
      </c>
    </row>
    <row r="20" ht="26" customHeight="1" spans="1:7" x14ac:dyDescent="0.25">
      <c r="A20" s="28">
        <v>16</v>
      </c>
      <c r="B20" s="28">
        <f>'College Setup'!E7+15</f>
        <v>20</v>
      </c>
      <c r="C20" s="29">
        <f>IF(G19&lt;0,0,G19)</f>
        <v>16181</v>
      </c>
      <c r="D20" s="29">
        <v>0</v>
      </c>
      <c r="E20" s="29">
        <f>IF(C20&lt;=0,0,C20*'College Setup'!E16)</f>
        <v>1133</v>
      </c>
      <c r="F20" s="29">
        <f>'College Setup'!E10*(1+'College Setup'!E11)^('College Setup'!E8-'College Setup'!E7+2)</f>
        <v>51973</v>
      </c>
      <c r="G20" s="29">
        <f>MAX(0,C20+D20+E20-F20)</f>
        <v>0</v>
      </c>
    </row>
    <row r="21" ht="26" customHeight="1" spans="1:7" x14ac:dyDescent="0.25">
      <c r="A21" s="26">
        <v>17</v>
      </c>
      <c r="B21" s="26">
        <f>'College Setup'!E7+16</f>
        <v>21</v>
      </c>
      <c r="C21" s="27">
        <f>IF(G20&lt;0,0,G20)</f>
        <v>0</v>
      </c>
      <c r="D21" s="27">
        <v>0</v>
      </c>
      <c r="E21" s="27">
        <f>IF(C21&lt;=0,0,C21*'College Setup'!E16)</f>
        <v>0</v>
      </c>
      <c r="F21" s="27">
        <f>'College Setup'!E10*(1+'College Setup'!E11)^('College Setup'!E8-'College Setup'!E7+3)</f>
        <v>54572</v>
      </c>
      <c r="G21" s="27">
        <f>MAX(0,C21+D21+E21-F21)</f>
        <v>0</v>
      </c>
    </row>
    <row r="22" ht="10" customHeight="1" x14ac:dyDescent="0.25"/>
    <row r="23" ht="6" customHeight="1" x14ac:dyDescent="0.25"/>
    <row r="24" ht="20" customHeight="1" spans="1:7" x14ac:dyDescent="0.25">
      <c r="A24" s="12" t="s">
        <v>17</v>
      </c>
      <c r="B24" s="12"/>
      <c r="C24" s="12"/>
      <c r="D24" s="12"/>
      <c r="E24" s="12"/>
      <c r="F24" s="12"/>
      <c r="G24" s="12"/>
    </row>
    <row r="25" ht="20" customHeight="1" spans="1:7" x14ac:dyDescent="0.25">
      <c r="A25" s="13" t="s">
        <v>18</v>
      </c>
      <c r="B25" s="13"/>
      <c r="C25" s="13"/>
      <c r="D25" s="13"/>
      <c r="E25" s="13"/>
      <c r="F25" s="13"/>
      <c r="G25" s="13"/>
    </row>
  </sheetData>
  <sheetProtection sheet="1"/>
  <mergeCells count="4">
    <mergeCell ref="A1:G1"/>
    <mergeCell ref="A2:G2"/>
    <mergeCell ref="A24:G24"/>
    <mergeCell ref="A25:G25"/>
  </mergeCells>
  <hyperlinks>
    <hyperlink ref="A25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75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32" t="s">
        <v>89</v>
      </c>
    </row>
    <row r="2" ht="20" customHeight="1" spans="2:2" x14ac:dyDescent="0.25">
      <c r="B2" s="33" t="s">
        <v>90</v>
      </c>
    </row>
    <row r="3" ht="16" customHeight="1" x14ac:dyDescent="0.25"/>
    <row r="4" ht="28" customHeight="1" spans="1:2" x14ac:dyDescent="0.25">
      <c r="A4" s="34" t="s">
        <v>91</v>
      </c>
      <c r="B4" s="11"/>
    </row>
    <row r="6" ht="24" customHeight="1" spans="2:2" x14ac:dyDescent="0.25">
      <c r="B6" s="35" t="s">
        <v>92</v>
      </c>
    </row>
    <row r="7" ht="24" customHeight="1" spans="2:2" x14ac:dyDescent="0.25">
      <c r="B7" s="35" t="s">
        <v>93</v>
      </c>
    </row>
    <row r="8" ht="24" customHeight="1" spans="2:2" x14ac:dyDescent="0.25">
      <c r="B8" s="35" t="s">
        <v>94</v>
      </c>
    </row>
    <row r="9" ht="24" customHeight="1" spans="2:2" x14ac:dyDescent="0.25">
      <c r="B9" s="35" t="s">
        <v>95</v>
      </c>
    </row>
    <row r="10" ht="24" customHeight="1" spans="2:2" x14ac:dyDescent="0.25">
      <c r="B10" s="35" t="s">
        <v>96</v>
      </c>
    </row>
    <row r="11" ht="12" customHeight="1" x14ac:dyDescent="0.25"/>
    <row r="12" ht="28" customHeight="1" spans="1:2" x14ac:dyDescent="0.25">
      <c r="A12" s="34" t="s">
        <v>97</v>
      </c>
      <c r="B12" s="11"/>
    </row>
    <row r="14" ht="24" customHeight="1" spans="2:2" x14ac:dyDescent="0.25">
      <c r="B14" s="35" t="s">
        <v>98</v>
      </c>
    </row>
    <row r="15" ht="24" customHeight="1" spans="2:2" x14ac:dyDescent="0.25">
      <c r="B15" s="35" t="s">
        <v>99</v>
      </c>
    </row>
    <row r="16" ht="24" customHeight="1" spans="2:2" x14ac:dyDescent="0.25">
      <c r="B16" s="35" t="s">
        <v>100</v>
      </c>
    </row>
    <row r="17" ht="24" customHeight="1" spans="2:2" x14ac:dyDescent="0.25">
      <c r="B17" s="35" t="s">
        <v>101</v>
      </c>
    </row>
    <row r="18" ht="24" customHeight="1" spans="2:2" x14ac:dyDescent="0.25">
      <c r="B18" s="35" t="s">
        <v>102</v>
      </c>
    </row>
    <row r="19" ht="24" customHeight="1" spans="2:2" x14ac:dyDescent="0.25">
      <c r="B19" s="35" t="s">
        <v>103</v>
      </c>
    </row>
    <row r="20" ht="24" customHeight="1" spans="2:2" x14ac:dyDescent="0.25">
      <c r="B20" s="35" t="s">
        <v>104</v>
      </c>
    </row>
    <row r="21" ht="24" customHeight="1" spans="2:2" x14ac:dyDescent="0.25">
      <c r="B21" s="35" t="s">
        <v>105</v>
      </c>
    </row>
    <row r="22" ht="24" customHeight="1" spans="2:2" x14ac:dyDescent="0.25">
      <c r="B22" s="35" t="s">
        <v>106</v>
      </c>
    </row>
    <row r="23" ht="12" customHeight="1" x14ac:dyDescent="0.25"/>
    <row r="24" ht="28" customHeight="1" spans="1:2" x14ac:dyDescent="0.25">
      <c r="A24" s="34" t="s">
        <v>107</v>
      </c>
      <c r="B24" s="11"/>
    </row>
    <row r="26" ht="24" customHeight="1" spans="2:2" x14ac:dyDescent="0.25">
      <c r="B26" s="35" t="s">
        <v>108</v>
      </c>
    </row>
    <row r="27" ht="24" customHeight="1" spans="2:2" x14ac:dyDescent="0.25">
      <c r="B27" s="35" t="s">
        <v>109</v>
      </c>
    </row>
    <row r="28" ht="24" customHeight="1" spans="2:2" x14ac:dyDescent="0.25">
      <c r="B28" s="35" t="s">
        <v>110</v>
      </c>
    </row>
    <row r="29" ht="24" customHeight="1" spans="2:2" x14ac:dyDescent="0.25">
      <c r="B29" s="35" t="s">
        <v>111</v>
      </c>
    </row>
    <row r="30" ht="24" customHeight="1" spans="2:2" x14ac:dyDescent="0.25">
      <c r="B30" s="35" t="s">
        <v>112</v>
      </c>
    </row>
    <row r="31" ht="24" customHeight="1" spans="2:2" x14ac:dyDescent="0.25">
      <c r="B31" s="35" t="s">
        <v>113</v>
      </c>
    </row>
    <row r="32" ht="12" customHeight="1" x14ac:dyDescent="0.25"/>
    <row r="33" ht="28" customHeight="1" spans="1:2" x14ac:dyDescent="0.25">
      <c r="A33" s="34" t="s">
        <v>114</v>
      </c>
      <c r="B33" s="11"/>
    </row>
    <row r="35" ht="24" customHeight="1" spans="2:2" x14ac:dyDescent="0.25">
      <c r="B35" s="35" t="s">
        <v>115</v>
      </c>
    </row>
    <row r="36" ht="24" customHeight="1" spans="2:2" x14ac:dyDescent="0.25">
      <c r="B36" s="35" t="s">
        <v>116</v>
      </c>
    </row>
    <row r="37" ht="24" customHeight="1" spans="2:2" x14ac:dyDescent="0.25">
      <c r="B37" s="35" t="s">
        <v>117</v>
      </c>
    </row>
    <row r="38" ht="24" customHeight="1" spans="2:2" x14ac:dyDescent="0.25">
      <c r="B38" s="35" t="s">
        <v>118</v>
      </c>
    </row>
    <row r="39" ht="24" customHeight="1" spans="2:2" x14ac:dyDescent="0.25">
      <c r="B39" s="35" t="s">
        <v>119</v>
      </c>
    </row>
    <row r="40" ht="24" customHeight="1" spans="2:2" x14ac:dyDescent="0.25">
      <c r="B40" s="35" t="s">
        <v>120</v>
      </c>
    </row>
    <row r="41" ht="24" customHeight="1" spans="2:2" x14ac:dyDescent="0.25">
      <c r="B41" s="35" t="s">
        <v>121</v>
      </c>
    </row>
    <row r="42" ht="24" customHeight="1" spans="2:2" x14ac:dyDescent="0.25">
      <c r="B42" s="35" t="s">
        <v>122</v>
      </c>
    </row>
    <row r="43" ht="12" customHeight="1" x14ac:dyDescent="0.25"/>
    <row r="44" ht="28" customHeight="1" spans="1:2" x14ac:dyDescent="0.25">
      <c r="A44" s="34" t="s">
        <v>123</v>
      </c>
      <c r="B44" s="11"/>
    </row>
    <row r="46" ht="24" customHeight="1" spans="2:2" x14ac:dyDescent="0.25">
      <c r="B46" s="35" t="s">
        <v>124</v>
      </c>
    </row>
    <row r="47" ht="24" customHeight="1" spans="2:2" x14ac:dyDescent="0.25">
      <c r="B47" s="35" t="s">
        <v>125</v>
      </c>
    </row>
    <row r="48" ht="24" customHeight="1" spans="2:2" x14ac:dyDescent="0.25">
      <c r="B48" s="35" t="s">
        <v>126</v>
      </c>
    </row>
    <row r="49" ht="24" customHeight="1" spans="2:2" x14ac:dyDescent="0.25">
      <c r="B49" s="35" t="s">
        <v>127</v>
      </c>
    </row>
    <row r="50" ht="24" customHeight="1" spans="2:2" x14ac:dyDescent="0.25">
      <c r="B50" s="35" t="s">
        <v>128</v>
      </c>
    </row>
    <row r="51" ht="24" customHeight="1" spans="2:2" x14ac:dyDescent="0.25">
      <c r="B51" s="35" t="s">
        <v>129</v>
      </c>
    </row>
    <row r="52" ht="12" customHeight="1" x14ac:dyDescent="0.25"/>
    <row r="53" ht="28" customHeight="1" spans="1:2" x14ac:dyDescent="0.25">
      <c r="A53" s="34" t="s">
        <v>130</v>
      </c>
      <c r="B53" s="11"/>
    </row>
    <row r="55" ht="24" customHeight="1" spans="2:2" x14ac:dyDescent="0.25">
      <c r="B55" s="35" t="s">
        <v>131</v>
      </c>
    </row>
    <row r="56" ht="24" customHeight="1" spans="2:2" x14ac:dyDescent="0.25">
      <c r="B56" s="35" t="s">
        <v>132</v>
      </c>
    </row>
    <row r="57" ht="24" customHeight="1" spans="2:2" x14ac:dyDescent="0.25">
      <c r="B57" s="35" t="s">
        <v>133</v>
      </c>
    </row>
    <row r="58" ht="12" customHeight="1" x14ac:dyDescent="0.25"/>
    <row r="59" ht="28" customHeight="1" spans="1:2" x14ac:dyDescent="0.25">
      <c r="A59" s="34" t="s">
        <v>134</v>
      </c>
      <c r="B59" s="11"/>
    </row>
    <row r="61" ht="24" customHeight="1" spans="2:2" x14ac:dyDescent="0.25">
      <c r="B61" s="35" t="s">
        <v>135</v>
      </c>
    </row>
    <row r="62" ht="24" customHeight="1" spans="2:2" x14ac:dyDescent="0.25">
      <c r="B62" s="35" t="s">
        <v>136</v>
      </c>
    </row>
    <row r="63" ht="24" customHeight="1" spans="2:2" x14ac:dyDescent="0.25">
      <c r="B63" s="35" t="s">
        <v>137</v>
      </c>
    </row>
    <row r="64" ht="24" customHeight="1" spans="2:2" x14ac:dyDescent="0.25">
      <c r="B64" s="35" t="s">
        <v>138</v>
      </c>
    </row>
    <row r="65" ht="24" customHeight="1" spans="2:2" x14ac:dyDescent="0.25">
      <c r="B65" s="35" t="s">
        <v>139</v>
      </c>
    </row>
    <row r="66" ht="24" customHeight="1" spans="2:2" x14ac:dyDescent="0.25">
      <c r="B66" s="35" t="s">
        <v>140</v>
      </c>
    </row>
    <row r="67" ht="12" customHeight="1" x14ac:dyDescent="0.25"/>
    <row r="68" ht="28" customHeight="1" spans="1:2" x14ac:dyDescent="0.25">
      <c r="A68" s="34" t="s">
        <v>141</v>
      </c>
      <c r="B68" s="11"/>
    </row>
    <row r="70" ht="24" customHeight="1" spans="2:2" x14ac:dyDescent="0.25">
      <c r="B70" s="35" t="s">
        <v>142</v>
      </c>
    </row>
    <row r="71" ht="24" customHeight="1" spans="2:2" x14ac:dyDescent="0.25">
      <c r="B71" s="35" t="s">
        <v>143</v>
      </c>
    </row>
    <row r="72" ht="12" customHeight="1" x14ac:dyDescent="0.25"/>
    <row r="73" ht="6" customHeight="1" x14ac:dyDescent="0.25"/>
    <row r="74" ht="20" customHeight="1" spans="1:2" x14ac:dyDescent="0.25">
      <c r="A74" s="36" t="s">
        <v>17</v>
      </c>
      <c r="B74" s="36"/>
    </row>
    <row r="75" ht="20" customHeight="1" spans="1:2" x14ac:dyDescent="0.25">
      <c r="A75" s="37" t="s">
        <v>18</v>
      </c>
      <c r="B75" s="37"/>
    </row>
  </sheetData>
  <mergeCells count="2">
    <mergeCell ref="A74:B74"/>
    <mergeCell ref="A75:B75"/>
  </mergeCells>
  <hyperlinks>
    <hyperlink ref="A75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College Setup</vt:lpstr>
      <vt:lpstr>Projection Table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College Savings Calculator</dc:title>
  <dc:subject>Financial Template</dc:subject>
  <dc:description>Free College Savings Calculator template by FinancialAha.com</dc:description>
  <cp:keywords>finance, template, spreadsheet, FinancialAha</cp:keywords>
  <cp:category>Finance</cp:category>
  <cp:lastModifiedBy>Unknown</cp:lastModifiedBy>
  <cp:lastPrinted>2026-04-01T18:00:02Z</cp:lastPrinted>
  <dcterms:created xsi:type="dcterms:W3CDTF">2026-04-01T18:00:02Z</dcterms:created>
  <dcterms:modified xsi:type="dcterms:W3CDTF">2026-04-01T18:00:02Z</dcterms:modified>
</cp:coreProperties>
</file>