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Setup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<sst xmlns="http://schemas.openxmlformats.org/spreadsheetml/2006/main" count="195" uniqueCount="184">
  <si>
    <t>Break-Even Analysis</t>
  </si>
  <si>
    <t>Understand when your business becomes profitable</t>
  </si>
  <si>
    <t>by FinancialAha.com</t>
  </si>
  <si>
    <t>BE UNITS (MONTHLY)</t>
  </si>
  <si>
    <t>BE REVENUE (MONTHLY)</t>
  </si>
  <si>
    <t>CONTRIBUTION MARGIN</t>
  </si>
  <si>
    <t>units per month to cover costs</t>
  </si>
  <si>
    <t>monthly revenue to break even</t>
  </si>
  <si>
    <t>profit per unit after variable costs</t>
  </si>
  <si>
    <t>CM RATIO</t>
  </si>
  <si>
    <t>SAFETY MARGIN</t>
  </si>
  <si>
    <t>TARGET PROFIT UNITS</t>
  </si>
  <si>
    <t>percentage of revenue as margin</t>
  </si>
  <si>
    <t>buffer above break-even point</t>
  </si>
  <si>
    <t>units needed for target profit</t>
  </si>
  <si>
    <t>0%</t>
  </si>
  <si>
    <t>50%</t>
  </si>
  <si>
    <t>100%</t>
  </si>
  <si>
    <t>150%</t>
  </si>
  <si>
    <t>200%</t>
  </si>
  <si>
    <t>Revenue</t>
  </si>
  <si>
    <t>Total Cost</t>
  </si>
  <si>
    <t>Costs</t>
  </si>
  <si>
    <t>Fixed Costs</t>
  </si>
  <si>
    <t>Variable Costs</t>
  </si>
  <si>
    <t>Start on the Setup tab to enter your pricing and costs. The dashboard updates automatically.</t>
  </si>
  <si>
    <t>Created with FinancialAha.com - Free financial tools and templates</t>
  </si>
  <si>
    <t>Get a premium spreadsheet from FinancialAha.com</t>
  </si>
  <si>
    <t>Break-Even Calculator</t>
  </si>
  <si>
    <t>Enter your costs and pricing below</t>
  </si>
  <si>
    <t>PRICING</t>
  </si>
  <si>
    <t>Selling Price per Unit</t>
  </si>
  <si>
    <t>The price you charge per unit</t>
  </si>
  <si>
    <t>FIXED COSTS (MONTHLY)</t>
  </si>
  <si>
    <t>Rent / Lease</t>
  </si>
  <si>
    <t>Monthly rent or lease payment</t>
  </si>
  <si>
    <t>Salaries &amp; Wages</t>
  </si>
  <si>
    <t>Fixed employee costs</t>
  </si>
  <si>
    <t>Insurance</t>
  </si>
  <si>
    <t>Business insurance premiums</t>
  </si>
  <si>
    <t>Utilities</t>
  </si>
  <si>
    <t>Electric, water, internet, etc.</t>
  </si>
  <si>
    <t>Marketing &amp; Advertising</t>
  </si>
  <si>
    <t>Fixed marketing budget</t>
  </si>
  <si>
    <t>Professional Services</t>
  </si>
  <si>
    <t>Legal, accounting, etc.</t>
  </si>
  <si>
    <t>Software &amp; Technology</t>
  </si>
  <si>
    <t>Subscriptions and tools</t>
  </si>
  <si>
    <t>Other Fixed Costs</t>
  </si>
  <si>
    <t>Any other fixed expenses</t>
  </si>
  <si>
    <t>Total Fixed Costs</t>
  </si>
  <si>
    <t>VARIABLE COSTS (PER UNIT)</t>
  </si>
  <si>
    <t>Materials / COGS</t>
  </si>
  <si>
    <t>Raw materials per unit</t>
  </si>
  <si>
    <t>Direct Labor</t>
  </si>
  <si>
    <t>Labor cost per unit produced</t>
  </si>
  <si>
    <t>Shipping &amp; Delivery</t>
  </si>
  <si>
    <t>Delivery cost per unit</t>
  </si>
  <si>
    <t>Sales Commission</t>
  </si>
  <si>
    <t>Per-unit commission</t>
  </si>
  <si>
    <t>Other Variable Costs</t>
  </si>
  <si>
    <t>Any other per-unit costs</t>
  </si>
  <si>
    <t>Total Variable Cost per Unit</t>
  </si>
  <si>
    <t>RESULTS</t>
  </si>
  <si>
    <t>Contribution Margin</t>
  </si>
  <si>
    <t>Price minus variable cost per unit</t>
  </si>
  <si>
    <t>Contribution Margin Ratio</t>
  </si>
  <si>
    <t>CM as a percentage of price</t>
  </si>
  <si>
    <t>Break-Even Units (monthly)</t>
  </si>
  <si>
    <t>Fixed costs divided by CM</t>
  </si>
  <si>
    <t>Break-Even Revenue (monthly)</t>
  </si>
  <si>
    <t>Units times selling price</t>
  </si>
  <si>
    <t>Break-Even Units (annual)</t>
  </si>
  <si>
    <t>Monthly units times 12</t>
  </si>
  <si>
    <t>Break-Even Revenue (annual)</t>
  </si>
  <si>
    <t>Monthly revenue times 12</t>
  </si>
  <si>
    <t>CURRENT PERFORMANCE</t>
  </si>
  <si>
    <t>Current Units Sold (monthly)</t>
  </si>
  <si>
    <t>Your actual monthly sales volume</t>
  </si>
  <si>
    <t>Units Above/Below Break-Even</t>
  </si>
  <si>
    <t>Positive = above BE, Negative = below</t>
  </si>
  <si>
    <t>Safety Margin</t>
  </si>
  <si>
    <t>How far above break-even you are</t>
  </si>
  <si>
    <t>Monthly Profit/Loss</t>
  </si>
  <si>
    <t>(Units x CM) minus fixed costs</t>
  </si>
  <si>
    <t>TARGET PROFIT</t>
  </si>
  <si>
    <t>Target Monthly Profit</t>
  </si>
  <si>
    <t>Your desired monthly profit</t>
  </si>
  <si>
    <t>Units for Target Profit</t>
  </si>
  <si>
    <t>(Fixed + Target Profit) / CM</t>
  </si>
  <si>
    <t>Revenue for Target Profit</t>
  </si>
  <si>
    <t>Target units times selling price</t>
  </si>
  <si>
    <t>WHAT-IF ANALYSIS</t>
  </si>
  <si>
    <t>Scenario</t>
  </si>
  <si>
    <t>Price</t>
  </si>
  <si>
    <t>CM</t>
  </si>
  <si>
    <t>BE Units</t>
  </si>
  <si>
    <t>BE Revenue</t>
  </si>
  <si>
    <t>Price -20%</t>
  </si>
  <si>
    <t>Price -10%</t>
  </si>
  <si>
    <t>Current Price</t>
  </si>
  <si>
    <t>Price +10%</t>
  </si>
  <si>
    <t>Price +20%</t>
  </si>
  <si>
    <t>BREAK-EVEN PRICE ANALYSIS</t>
  </si>
  <si>
    <t>Expected Units Sold</t>
  </si>
  <si>
    <t>How many units you expect to sell</t>
  </si>
  <si>
    <t>Break-Even Price per Unit</t>
  </si>
  <si>
    <t>(Fixed Costs / Units) + Variable Cost</t>
  </si>
  <si>
    <t>Revenue at Break-Even Price</t>
  </si>
  <si>
    <t>BE price times expected units</t>
  </si>
  <si>
    <t>TIME TO BREAK EVEN</t>
  </si>
  <si>
    <t>Months to Break Even</t>
  </si>
  <si>
    <t>Break-even units / monthly sales</t>
  </si>
  <si>
    <t>Projected Break-Even Date</t>
  </si>
  <si>
    <t>Estimated date based on current sales</t>
  </si>
  <si>
    <t>VOLUME ANALYSIS</t>
  </si>
  <si>
    <t>Volume Level</t>
  </si>
  <si>
    <t>Units</t>
  </si>
  <si>
    <t>Profit / Loss</t>
  </si>
  <si>
    <t>Margin</t>
  </si>
  <si>
    <t>25% of BE</t>
  </si>
  <si>
    <t>50% of BE</t>
  </si>
  <si>
    <t>75% of BE</t>
  </si>
  <si>
    <t>100% (Break-Even)</t>
  </si>
  <si>
    <t>150% of BE</t>
  </si>
  <si>
    <t>How to Use This Template</t>
  </si>
  <si>
    <t>A quick guide to understanding your break-even point.</t>
  </si>
  <si>
    <t>GETTING STARTED</t>
  </si>
  <si>
    <t>1. Go to the "Setup" sheet</t>
  </si>
  <si>
    <t>2. Enter your selling price per unit in the yellow cell</t>
  </si>
  <si>
    <t>3. Enter your monthly fixed costs (rent, salaries, etc.)</t>
  </si>
  <si>
    <t>4. Enter your variable costs per unit (materials, labor, etc.)</t>
  </si>
  <si>
    <t>5. Enter your current monthly sales volume in the Current Performance section</t>
  </si>
  <si>
    <t>6. Check the Dashboard for your break-even results and charts</t>
  </si>
  <si>
    <t>UNDERSTANDING BREAK-EVEN</t>
  </si>
  <si>
    <t>The break-even point is where total revenue equals total costs.</t>
  </si>
  <si>
    <t>Below break-even, the business operates at a loss.</t>
  </si>
  <si>
    <t>Above break-even, each additional unit sold generates profit.</t>
  </si>
  <si>
    <t>The Dashboard shows both monthly and annual break-even targets.</t>
  </si>
  <si>
    <t>KEY CONCEPTS</t>
  </si>
  <si>
    <t>Fixed Costs - expenses that stay the same regardless of how many units you sell (rent, salaries, insurance).</t>
  </si>
  <si>
    <t>Variable Costs - expenses that change with each unit produced or sold (materials, shipping, commissions).</t>
  </si>
  <si>
    <t>Contribution Margin - the amount each unit contributes toward covering fixed costs: selling price minus variable cost per unit.</t>
  </si>
  <si>
    <t>Contribution Margin Ratio - contribution margin as a percentage of the selling price.</t>
  </si>
  <si>
    <t>Safety Margin - how far your current sales are above the break-even point, shown as a percentage.</t>
  </si>
  <si>
    <t>Enter your actual monthly units sold to see how you compare to the break-even point.</t>
  </si>
  <si>
    <t>Units Above/Below shows whether you are operating at a profit or loss.</t>
  </si>
  <si>
    <t>Safety Margin tells you what percentage drop in sales you could absorb before hitting break-even.</t>
  </si>
  <si>
    <t>Monthly Profit/Loss calculates your current profit based on the contribution margin approach.</t>
  </si>
  <si>
    <t>Use the Target Profit section to find how many units you need to reach a specific profit goal.</t>
  </si>
  <si>
    <t>The formula adds your target profit to fixed costs, then divides by the contribution margin.</t>
  </si>
  <si>
    <t>This tells you exactly how many units to sell for your desired monthly profit.</t>
  </si>
  <si>
    <t>The sensitivity table shows how different price points affect your break-even.</t>
  </si>
  <si>
    <t>It automatically calculates break-even at -20%, -10%, current, +10%, and +20% of your price.</t>
  </si>
  <si>
    <t>All values update when you change any input on the Setup sheet.</t>
  </si>
  <si>
    <t>If the contribution margin is zero or negative at a given price, the table shows "N/A".</t>
  </si>
  <si>
    <t>BREAK-EVEN PRICE CALCULATOR</t>
  </si>
  <si>
    <t>This section works in reverse - given a number of units, it calculates the minimum price needed to break even.</t>
  </si>
  <si>
    <t>Enter how many units you expect to sell in the yellow cell.</t>
  </si>
  <si>
    <t>The Break-Even Price per Unit shows the lowest price that covers all fixed and variable costs at that volume.</t>
  </si>
  <si>
    <t>Revenue at Break-Even Price shows total revenue at that price and volume combination.</t>
  </si>
  <si>
    <t>Months to Break Even divides the break-even units by your current monthly sales volume.</t>
  </si>
  <si>
    <t>Projected Break-Even Date estimates when you will reach break-even based on today and your current sales pace.</t>
  </si>
  <si>
    <t>If your contribution margin is zero or negative, or current sales are zero, results show "N/A".</t>
  </si>
  <si>
    <t>This table shows profit and loss at different sales volumes relative to the break-even point.</t>
  </si>
  <si>
    <t>Volumes shown are 25%, 50%, 75%, 100%, and 150% of break-even units.</t>
  </si>
  <si>
    <t>At 100% (the break-even point), profit is zero by definition.</t>
  </si>
  <si>
    <t>The Margin column shows profit as a percentage of revenue at each volume level.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</si>
  <si>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</si>
  <si>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</si>
  <si>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</si>
  <si>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are section totals.</t>
  </si>
  <si>
    <t>IMPORTANT NOTES</t>
  </si>
  <si>
    <t>If your price is equal to or less than variable costs, results will show "N/A" since break-even is not possible.</t>
  </si>
  <si>
    <t>Avoid entering negative values for price or costs - the template is designed for positive inputs.</t>
  </si>
  <si>
    <t>All charts and KPIs update automatically when you change your inputs.</t>
  </si>
  <si>
    <t>TIPS</t>
  </si>
  <si>
    <t>Review your costs regularly - even small changes in variable costs can shift the break-even point significantly.</t>
  </si>
  <si>
    <t>Consider running different scenarios by changing the selling price to see the impact on break-even.</t>
  </si>
  <si>
    <t>Use the annual figures for long-term planning and the monthly figures for short-term targets.</t>
  </si>
  <si>
    <t>The cost structure chart helps visualize the split between fixed and variable costs at break-even volume.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</si>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</sst>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20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0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color rgb="FFFFFF"/>
      <sz val="1"/>
      <name val="Aptos"/>
    </font>
    <font>
      <i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3"/>
      <name val="Aptos"/>
    </font>
  </fonts>
  <fills count="6">
    <fill>
      <patternFill patternType="none"/>
    </fill>
    <fill>
      <patternFill patternType="gray125"/>
    </fill>
    <fill>
      <patternFill patternType="solid">
        <fgColor rgb="EEF0F7"/>
      </patternFill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 style="thin">
        <color rgb="E2E4EA"/>
      </left>
      <right style="thin">
        <color rgb="E2E4EA"/>
      </right>
      <top style="thin">
        <color rgb="E2E4EA"/>
      </top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3" fontId="5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9" fontId="6" fillId="0" borderId="2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wrapText="1" indent="1"/>
    </xf>
    <xf numFmtId="0" fontId="13" fillId="0" borderId="5" xfId="0" applyFont="1" applyBorder="1" applyAlignment="1" applyProtection="1">
      <alignment horizontal="left" vertical="center" indent="1"/>
    </xf>
    <xf numFmtId="0" fontId="0" fillId="0" borderId="5" xfId="0" applyBorder="1"/>
    <xf numFmtId="0" fontId="14" fillId="0" borderId="0" xfId="0" applyFont="1" applyAlignment="1" applyProtection="1">
      <alignment horizontal="left" vertical="center" indent="1"/>
    </xf>
    <xf numFmtId="165" fontId="15" fillId="3" borderId="6" xfId="0" applyNumberFormat="1" applyFont="1" applyFill="1" applyBorder="1" applyAlignment="1" applyProtection="1">
      <alignment horizontal="right" vertical="center"/>
      <protection locked="0"/>
    </xf>
    <xf numFmtId="165" fontId="16" fillId="2" borderId="7" xfId="0" applyNumberFormat="1" applyFont="1" applyFill="1" applyBorder="1" applyAlignment="1" applyProtection="1">
      <alignment horizontal="right" vertical="center"/>
    </xf>
    <xf numFmtId="10" fontId="16" fillId="2" borderId="7" xfId="0" applyNumberFormat="1" applyFont="1" applyFill="1" applyBorder="1" applyAlignment="1" applyProtection="1">
      <alignment horizontal="right" vertical="center"/>
    </xf>
    <xf numFmtId="3" fontId="17" fillId="2" borderId="7" xfId="0" applyNumberFormat="1" applyFont="1" applyFill="1" applyBorder="1" applyAlignment="1" applyProtection="1">
      <alignment horizontal="center" vertical="center"/>
    </xf>
    <xf numFmtId="164" fontId="17" fillId="2" borderId="7" xfId="0" applyNumberFormat="1" applyFont="1" applyFill="1" applyBorder="1" applyAlignment="1" applyProtection="1">
      <alignment horizontal="center" vertical="center"/>
    </xf>
    <xf numFmtId="3" fontId="16" fillId="2" borderId="7" xfId="0" applyNumberFormat="1" applyFont="1" applyFill="1" applyBorder="1" applyAlignment="1" applyProtection="1">
      <alignment horizontal="right" vertical="center"/>
    </xf>
    <xf numFmtId="164" fontId="16" fillId="2" borderId="7" xfId="0" applyNumberFormat="1" applyFont="1" applyFill="1" applyBorder="1" applyAlignment="1" applyProtection="1">
      <alignment horizontal="right" vertical="center"/>
    </xf>
    <xf numFmtId="3" fontId="15" fillId="3" borderId="6" xfId="0" applyNumberFormat="1" applyFont="1" applyFill="1" applyBorder="1" applyAlignment="1" applyProtection="1">
      <alignment horizontal="right" vertical="center"/>
      <protection locked="0"/>
    </xf>
    <xf numFmtId="4" fontId="16" fillId="2" borderId="7" xfId="0" applyNumberFormat="1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center" vertical="center" wrapText="1"/>
    </xf>
    <xf numFmtId="0" fontId="15" fillId="0" borderId="8" xfId="0" applyFont="1" applyBorder="1" applyAlignment="1" applyProtection="1">
      <alignment vertical="center" indent="1"/>
    </xf>
    <xf numFmtId="165" fontId="15" fillId="0" borderId="8" xfId="0" applyNumberFormat="1" applyFont="1" applyBorder="1" applyAlignment="1" applyProtection="1">
      <alignment horizontal="right" vertical="center"/>
    </xf>
    <xf numFmtId="3" fontId="15" fillId="0" borderId="8" xfId="0" applyNumberFormat="1" applyFont="1" applyBorder="1" applyAlignment="1" applyProtection="1">
      <alignment horizontal="right" vertical="center"/>
    </xf>
    <xf numFmtId="164" fontId="15" fillId="0" borderId="8" xfId="0" applyNumberFormat="1" applyFont="1" applyBorder="1" applyAlignment="1" applyProtection="1">
      <alignment horizontal="right" vertical="center"/>
    </xf>
    <xf numFmtId="0" fontId="15" fillId="5" borderId="8" xfId="0" applyFont="1" applyFill="1" applyBorder="1" applyAlignment="1" applyProtection="1">
      <alignment vertical="center" indent="1"/>
    </xf>
    <xf numFmtId="165" fontId="15" fillId="5" borderId="8" xfId="0" applyNumberFormat="1" applyFont="1" applyFill="1" applyBorder="1" applyAlignment="1" applyProtection="1">
      <alignment horizontal="right" vertical="center"/>
    </xf>
    <xf numFmtId="3" fontId="15" fillId="5" borderId="8" xfId="0" applyNumberFormat="1" applyFont="1" applyFill="1" applyBorder="1" applyAlignment="1" applyProtection="1">
      <alignment horizontal="right" vertical="center"/>
    </xf>
    <xf numFmtId="164" fontId="15" fillId="5" borderId="8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right" vertical="center"/>
    </xf>
    <xf numFmtId="10" fontId="15" fillId="0" borderId="8" xfId="0" applyNumberFormat="1" applyFont="1" applyBorder="1" applyAlignment="1" applyProtection="1">
      <alignment horizontal="right" vertical="center"/>
    </xf>
    <xf numFmtId="10" fontId="15" fillId="5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Break-Even Analysis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Dashboard!$B$13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Dashboard!$C$12:$G$12</c:f>
              <c:strCache>
                <c:ptCount val="5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</c:strCache>
            </c:strRef>
          </c:cat>
          <c:val>
            <c:numRef>
              <c:f>Dashboard!$C$13:$G$13</c:f>
              <c:numCache>
                <c:formatCode>$#,##0</c:formatCode>
                <c:ptCount val="5"/>
                <c:pt idx="0">
                  <c:v>0</c:v>
                </c:pt>
                <c:pt idx="1">
                  <c:v>18750</c:v>
                </c:pt>
                <c:pt idx="2">
                  <c:v>37500</c:v>
                </c:pt>
                <c:pt idx="3">
                  <c:v>56250</c:v>
                </c:pt>
                <c:pt idx="4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Dashboard!$B$14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Dashboard!$C$12:$G$12</c:f>
              <c:strCache>
                <c:ptCount val="5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</c:strCache>
            </c:strRef>
          </c:cat>
          <c:val>
            <c:numRef>
              <c:f>Dashboard!$C$14:$G$14</c:f>
              <c:numCache>
                <c:formatCode>$#,##0</c:formatCode>
                <c:ptCount val="5"/>
                <c:pt idx="0">
                  <c:v>15000</c:v>
                </c:pt>
                <c:pt idx="1">
                  <c:v>26250</c:v>
                </c:pt>
                <c:pt idx="2">
                  <c:v>37500</c:v>
                </c:pt>
                <c:pt idx="3">
                  <c:v>48750</c:v>
                </c:pt>
                <c:pt idx="4">
                  <c:v>60000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Cost Structure at Break-Even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Dashboard!$B$15</c:f>
              <c:strCache>
                <c:ptCount val="1"/>
                <c:pt idx="0">
                  <c:v>Costs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Dashboard!$C$15:$D$15</c:f>
              <c:strCache>
                <c:ptCount val="2"/>
                <c:pt idx="0">
                  <c:v>Fixed Costs</c:v>
                </c:pt>
                <c:pt idx="1">
                  <c:v>Variable Costs</c:v>
                </c:pt>
              </c:strCache>
            </c:strRef>
          </c:cat>
          <c:val>
            <c:numRef>
              <c:f>Dashboard!$C$16:$D$16</c:f>
              <c:numCache>
                <c:formatCode>$#,##0</c:formatCode>
                <c:ptCount val="2"/>
                <c:pt idx="0">
                  <c:v>15000</c:v>
                </c:pt>
                <c:pt idx="1">
                  <c:v>22500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34"/>
  <sheetViews>
    <sheetView workbookViewId="0" showGridLines="0" zoomScale="11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44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18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0" customHeight="1" spans="2:7" x14ac:dyDescent="0.25">
      <c r="B4" s="4" t="s">
        <v>3</v>
      </c>
      <c r="C4" s="4"/>
      <c r="D4" s="4" t="s">
        <v>4</v>
      </c>
      <c r="E4" s="4"/>
      <c r="F4" s="4" t="s">
        <v>5</v>
      </c>
      <c r="G4" s="4"/>
    </row>
    <row r="5" ht="38" customHeight="1" spans="2:7" x14ac:dyDescent="0.25">
      <c r="B5" s="5">
        <f>IFERROR(IF('Setup'!B27&lt;=0,"N/A",'Setup'!B29),"N/A")</f>
        <v>500</v>
      </c>
      <c r="C5" s="5"/>
      <c r="D5" s="6">
        <f>IFERROR(IF('Setup'!B27&lt;=0,"N/A",'Setup'!B30),"N/A")</f>
        <v>37500</v>
      </c>
      <c r="E5" s="6"/>
      <c r="F5" s="7">
        <f>'Setup'!B27</f>
        <v>30</v>
      </c>
      <c r="G5" s="7"/>
    </row>
    <row r="6" ht="16" customHeight="1" spans="2:7" x14ac:dyDescent="0.25">
      <c r="B6" s="8" t="s">
        <v>6</v>
      </c>
      <c r="C6" s="8"/>
      <c r="D6" s="8" t="s">
        <v>7</v>
      </c>
      <c r="E6" s="8"/>
      <c r="F6" s="8" t="s">
        <v>8</v>
      </c>
      <c r="G6" s="8"/>
    </row>
    <row r="7" ht="6" customHeight="1" x14ac:dyDescent="0.25"/>
    <row r="8" ht="20" customHeight="1" spans="2:7" x14ac:dyDescent="0.25">
      <c r="B8" s="4" t="s">
        <v>9</v>
      </c>
      <c r="C8" s="4"/>
      <c r="D8" s="4" t="s">
        <v>10</v>
      </c>
      <c r="E8" s="4"/>
      <c r="F8" s="4" t="s">
        <v>11</v>
      </c>
      <c r="G8" s="4"/>
    </row>
    <row r="9" ht="38" customHeight="1" spans="2:7" x14ac:dyDescent="0.25">
      <c r="B9" s="9">
        <f>IFERROR('Setup'!B28,0)</f>
        <v>0.4</v>
      </c>
      <c r="C9" s="9"/>
      <c r="D9" s="9">
        <f>IFERROR('Setup'!B37,"N/A")</f>
        <v>0.16666666666666666</v>
      </c>
      <c r="E9" s="9"/>
      <c r="F9" s="5">
        <f>IFERROR(IF('Setup'!B27&lt;=0,"N/A",'Setup'!B42),"N/A")</f>
        <v>666.67</v>
      </c>
      <c r="G9" s="5"/>
    </row>
    <row r="10" ht="16" customHeight="1" spans="2:7" x14ac:dyDescent="0.25">
      <c r="B10" s="8" t="s">
        <v>12</v>
      </c>
      <c r="C10" s="8"/>
      <c r="D10" s="8" t="s">
        <v>13</v>
      </c>
      <c r="E10" s="8"/>
      <c r="F10" s="8" t="s">
        <v>14</v>
      </c>
      <c r="G10" s="8"/>
    </row>
    <row r="11" ht="6" customHeight="1" x14ac:dyDescent="0.25"/>
    <row r="12" ht="1" customHeight="1" spans="3:7" x14ac:dyDescent="0.25"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19</v>
      </c>
    </row>
    <row r="13" ht="1" customHeight="1" spans="2:7" x14ac:dyDescent="0.25">
      <c r="B13" s="10" t="s">
        <v>20</v>
      </c>
      <c r="C13" s="10">
        <f>0</f>
        <v>0</v>
      </c>
      <c r="D13" s="10">
        <f>0.5*'Setup'!B29*'Setup'!B5</f>
        <v>18750</v>
      </c>
      <c r="E13" s="10">
        <f>1*'Setup'!B29*'Setup'!B5</f>
        <v>37500</v>
      </c>
      <c r="F13" s="10">
        <f>1.5*'Setup'!B29*'Setup'!B5</f>
        <v>56250</v>
      </c>
      <c r="G13" s="10">
        <f>2*'Setup'!B29*'Setup'!B5</f>
        <v>75000</v>
      </c>
    </row>
    <row r="14" ht="1" customHeight="1" spans="2:7" x14ac:dyDescent="0.25">
      <c r="B14" s="10" t="s">
        <v>21</v>
      </c>
      <c r="C14" s="10">
        <f>'Setup'!B16</f>
        <v>15000</v>
      </c>
      <c r="D14" s="10">
        <f>'Setup'!B16+0.5*'Setup'!B29*'Setup'!B24</f>
        <v>26250</v>
      </c>
      <c r="E14" s="10">
        <f>'Setup'!B16+1*'Setup'!B29*'Setup'!B24</f>
        <v>37500</v>
      </c>
      <c r="F14" s="10">
        <f>'Setup'!B16+1.5*'Setup'!B29*'Setup'!B24</f>
        <v>48750</v>
      </c>
      <c r="G14" s="10">
        <f>'Setup'!B16+2*'Setup'!B29*'Setup'!B24</f>
        <v>60000</v>
      </c>
    </row>
    <row r="15" ht="1" customHeight="1" spans="2:4" x14ac:dyDescent="0.25">
      <c r="B15" s="10" t="s">
        <v>22</v>
      </c>
      <c r="C15" s="10" t="s">
        <v>23</v>
      </c>
      <c r="D15" s="10" t="s">
        <v>24</v>
      </c>
    </row>
    <row r="16" ht="1" customHeight="1" spans="3:4" x14ac:dyDescent="0.25">
      <c r="C16" s="10">
        <f>'Setup'!B16</f>
        <v>15000</v>
      </c>
      <c r="D16" s="10">
        <f>'Setup'!B29*'Setup'!B24</f>
        <v>22500</v>
      </c>
    </row>
    <row r="17" ht="14" customHeight="1" x14ac:dyDescent="0.25"/>
    <row r="18" ht="14" customHeight="1" x14ac:dyDescent="0.25"/>
    <row r="19" ht="14" customHeight="1" x14ac:dyDescent="0.25"/>
    <row r="20" ht="14" customHeight="1" x14ac:dyDescent="0.25"/>
    <row r="21" ht="14" customHeight="1" x14ac:dyDescent="0.25"/>
    <row r="22" ht="14" customHeight="1" x14ac:dyDescent="0.25"/>
    <row r="23" ht="14" customHeight="1" x14ac:dyDescent="0.25"/>
    <row r="24" ht="14" customHeight="1" x14ac:dyDescent="0.25"/>
    <row r="25" ht="14" customHeight="1" x14ac:dyDescent="0.25"/>
    <row r="26" ht="14" customHeight="1" x14ac:dyDescent="0.25"/>
    <row r="27" ht="14" customHeight="1" x14ac:dyDescent="0.25"/>
    <row r="28" ht="14" customHeight="1" x14ac:dyDescent="0.25"/>
    <row r="29" ht="14" customHeight="1" x14ac:dyDescent="0.25"/>
    <row r="30" ht="28" customHeight="1" spans="2:9" x14ac:dyDescent="0.25">
      <c r="B30" s="11" t="s">
        <v>25</v>
      </c>
      <c r="C30" s="11"/>
      <c r="D30" s="11"/>
      <c r="E30" s="11"/>
      <c r="F30" s="11"/>
      <c r="G30" s="11"/>
      <c r="H30" s="11"/>
      <c r="I30" s="11"/>
    </row>
    <row r="31" ht="6" customHeight="1" x14ac:dyDescent="0.25"/>
    <row r="32" ht="6" customHeight="1" x14ac:dyDescent="0.25"/>
    <row r="33" ht="20" customHeight="1" spans="1:9" x14ac:dyDescent="0.25">
      <c r="A33" s="12" t="s">
        <v>26</v>
      </c>
      <c r="B33" s="12"/>
      <c r="C33" s="12"/>
      <c r="D33" s="12"/>
      <c r="E33" s="12"/>
      <c r="F33" s="12"/>
      <c r="G33" s="12"/>
      <c r="H33" s="12"/>
      <c r="I33" s="12"/>
    </row>
    <row r="34" ht="20" customHeight="1" spans="1:9" x14ac:dyDescent="0.25">
      <c r="A34" s="13" t="s">
        <v>27</v>
      </c>
      <c r="B34" s="13"/>
      <c r="C34" s="13"/>
      <c r="D34" s="13"/>
      <c r="E34" s="13"/>
      <c r="F34" s="13"/>
      <c r="G34" s="13"/>
      <c r="H34" s="13"/>
      <c r="I34" s="13"/>
    </row>
  </sheetData>
  <sheetProtection sheet="1"/>
  <mergeCells count="24">
    <mergeCell ref="B1:I1"/>
    <mergeCell ref="B2:F2"/>
    <mergeCell ref="G2:I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30:I30"/>
    <mergeCell ref="A33:I33"/>
    <mergeCell ref="A34:I34"/>
  </mergeCells>
  <hyperlinks>
    <hyperlink ref="G2" r:id="rId1"/>
    <hyperlink ref="A34" r:id="rId2"/>
  </hyperlinks>
  <pageMargins left="0.5" right="0.5" top="0.5" bottom="0.5" header="0.3" footer="0.3"/>
  <pageSetup paperSize="1" orientation="landscape" fitToWidth="1" fitToHeight="1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72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18" customWidth="1"/>
    <col min="3" max="3" width="30" customWidth="1"/>
    <col min="4" max="5" width="16" customWidth="1"/>
    <col min="6" max="6" width="14" customWidth="1"/>
  </cols>
  <sheetData>
    <row r="1" ht="48" customHeight="1" spans="1:3" x14ac:dyDescent="0.25">
      <c r="A1" s="1" t="s">
        <v>28</v>
      </c>
      <c r="B1" s="1"/>
      <c r="C1" s="1"/>
    </row>
    <row r="2" ht="24" customHeight="1" spans="1:3" x14ac:dyDescent="0.25">
      <c r="A2" s="14" t="s">
        <v>29</v>
      </c>
      <c r="B2" s="14"/>
      <c r="C2" s="14"/>
    </row>
    <row r="3" ht="14" customHeight="1" x14ac:dyDescent="0.25"/>
    <row r="4" ht="28" customHeight="1" spans="1:3" x14ac:dyDescent="0.25">
      <c r="A4" s="15" t="s">
        <v>30</v>
      </c>
      <c r="B4" s="16"/>
      <c r="C4" s="16"/>
    </row>
    <row r="5" ht="26" customHeight="1" spans="1:3" x14ac:dyDescent="0.25">
      <c r="A5" s="17" t="s">
        <v>31</v>
      </c>
      <c r="B5" s="18">
        <v>75</v>
      </c>
      <c r="C5" s="14" t="s">
        <v>32</v>
      </c>
    </row>
    <row r="6" ht="10" customHeight="1" x14ac:dyDescent="0.25"/>
    <row r="7" ht="28" customHeight="1" spans="1:3" x14ac:dyDescent="0.25">
      <c r="A7" s="15" t="s">
        <v>33</v>
      </c>
      <c r="B7" s="16"/>
      <c r="C7" s="16"/>
    </row>
    <row r="8" ht="26" customHeight="1" spans="1:3" x14ac:dyDescent="0.25">
      <c r="A8" s="17" t="s">
        <v>34</v>
      </c>
      <c r="B8" s="18">
        <v>3500</v>
      </c>
      <c r="C8" s="14" t="s">
        <v>35</v>
      </c>
    </row>
    <row r="9" ht="26" customHeight="1" spans="1:3" x14ac:dyDescent="0.25">
      <c r="A9" s="17" t="s">
        <v>36</v>
      </c>
      <c r="B9" s="18">
        <v>8500</v>
      </c>
      <c r="C9" s="14" t="s">
        <v>37</v>
      </c>
    </row>
    <row r="10" ht="26" customHeight="1" spans="1:3" x14ac:dyDescent="0.25">
      <c r="A10" s="17" t="s">
        <v>38</v>
      </c>
      <c r="B10" s="18">
        <v>450</v>
      </c>
      <c r="C10" s="14" t="s">
        <v>39</v>
      </c>
    </row>
    <row r="11" ht="26" customHeight="1" spans="1:3" x14ac:dyDescent="0.25">
      <c r="A11" s="17" t="s">
        <v>40</v>
      </c>
      <c r="B11" s="18">
        <v>350</v>
      </c>
      <c r="C11" s="14" t="s">
        <v>41</v>
      </c>
    </row>
    <row r="12" ht="26" customHeight="1" spans="1:3" x14ac:dyDescent="0.25">
      <c r="A12" s="17" t="s">
        <v>42</v>
      </c>
      <c r="B12" s="18">
        <v>1200</v>
      </c>
      <c r="C12" s="14" t="s">
        <v>43</v>
      </c>
    </row>
    <row r="13" ht="26" customHeight="1" spans="1:3" x14ac:dyDescent="0.25">
      <c r="A13" s="17" t="s">
        <v>44</v>
      </c>
      <c r="B13" s="18">
        <v>500</v>
      </c>
      <c r="C13" s="14" t="s">
        <v>45</v>
      </c>
    </row>
    <row r="14" ht="26" customHeight="1" spans="1:3" x14ac:dyDescent="0.25">
      <c r="A14" s="17" t="s">
        <v>46</v>
      </c>
      <c r="B14" s="18">
        <v>300</v>
      </c>
      <c r="C14" s="14" t="s">
        <v>47</v>
      </c>
    </row>
    <row r="15" ht="26" customHeight="1" spans="1:3" x14ac:dyDescent="0.25">
      <c r="A15" s="17" t="s">
        <v>48</v>
      </c>
      <c r="B15" s="18">
        <v>200</v>
      </c>
      <c r="C15" s="14" t="s">
        <v>49</v>
      </c>
    </row>
    <row r="16" ht="26" customHeight="1" spans="1:2" x14ac:dyDescent="0.25">
      <c r="A16" s="17" t="s">
        <v>50</v>
      </c>
      <c r="B16" s="19">
        <f>SUM(B8:B15)</f>
        <v>15000</v>
      </c>
    </row>
    <row r="17" ht="10" customHeight="1" x14ac:dyDescent="0.25"/>
    <row r="18" ht="28" customHeight="1" spans="1:3" x14ac:dyDescent="0.25">
      <c r="A18" s="15" t="s">
        <v>51</v>
      </c>
      <c r="B18" s="16"/>
      <c r="C18" s="16"/>
    </row>
    <row r="19" ht="26" customHeight="1" spans="1:3" x14ac:dyDescent="0.25">
      <c r="A19" s="17" t="s">
        <v>52</v>
      </c>
      <c r="B19" s="18">
        <v>22</v>
      </c>
      <c r="C19" s="14" t="s">
        <v>53</v>
      </c>
    </row>
    <row r="20" ht="26" customHeight="1" spans="1:3" x14ac:dyDescent="0.25">
      <c r="A20" s="17" t="s">
        <v>54</v>
      </c>
      <c r="B20" s="18">
        <v>12</v>
      </c>
      <c r="C20" s="14" t="s">
        <v>55</v>
      </c>
    </row>
    <row r="21" ht="26" customHeight="1" spans="1:3" x14ac:dyDescent="0.25">
      <c r="A21" s="17" t="s">
        <v>56</v>
      </c>
      <c r="B21" s="18">
        <v>5</v>
      </c>
      <c r="C21" s="14" t="s">
        <v>57</v>
      </c>
    </row>
    <row r="22" ht="26" customHeight="1" spans="1:3" x14ac:dyDescent="0.25">
      <c r="A22" s="17" t="s">
        <v>58</v>
      </c>
      <c r="B22" s="18">
        <v>3.75</v>
      </c>
      <c r="C22" s="14" t="s">
        <v>59</v>
      </c>
    </row>
    <row r="23" ht="26" customHeight="1" spans="1:3" x14ac:dyDescent="0.25">
      <c r="A23" s="17" t="s">
        <v>60</v>
      </c>
      <c r="B23" s="18">
        <v>2.25</v>
      </c>
      <c r="C23" s="14" t="s">
        <v>61</v>
      </c>
    </row>
    <row r="24" ht="26" customHeight="1" spans="1:2" x14ac:dyDescent="0.25">
      <c r="A24" s="17" t="s">
        <v>62</v>
      </c>
      <c r="B24" s="19">
        <f>SUM(B19:B23)</f>
        <v>45</v>
      </c>
    </row>
    <row r="25" ht="10" customHeight="1" x14ac:dyDescent="0.25"/>
    <row r="26" ht="28" customHeight="1" spans="1:3" x14ac:dyDescent="0.25">
      <c r="A26" s="15" t="s">
        <v>63</v>
      </c>
      <c r="B26" s="16"/>
      <c r="C26" s="16"/>
    </row>
    <row r="27" ht="26" customHeight="1" spans="1:3" x14ac:dyDescent="0.25">
      <c r="A27" s="17" t="s">
        <v>64</v>
      </c>
      <c r="B27" s="19">
        <f>B5-B24</f>
        <v>30</v>
      </c>
      <c r="C27" s="14" t="s">
        <v>65</v>
      </c>
    </row>
    <row r="28" ht="26" customHeight="1" spans="1:3" x14ac:dyDescent="0.25">
      <c r="A28" s="17" t="s">
        <v>66</v>
      </c>
      <c r="B28" s="20">
        <f>IFERROR(B27/B5,0)</f>
        <v>0.4</v>
      </c>
      <c r="C28" s="14" t="s">
        <v>67</v>
      </c>
    </row>
    <row r="29" ht="26" customHeight="1" spans="1:3" x14ac:dyDescent="0.25">
      <c r="A29" s="17" t="s">
        <v>68</v>
      </c>
      <c r="B29" s="21">
        <f>IF(B27&lt;=0,"N/A",IFERROR(B16/B27,0))</f>
        <v>500</v>
      </c>
      <c r="C29" s="14" t="s">
        <v>69</v>
      </c>
    </row>
    <row r="30" ht="26" customHeight="1" spans="1:3" x14ac:dyDescent="0.25">
      <c r="A30" s="17" t="s">
        <v>70</v>
      </c>
      <c r="B30" s="22">
        <f>IF(B27&lt;=0,"N/A",IFERROR(B29*B5,0))</f>
        <v>37500</v>
      </c>
      <c r="C30" s="14" t="s">
        <v>71</v>
      </c>
    </row>
    <row r="31" ht="26" customHeight="1" spans="1:3" x14ac:dyDescent="0.25">
      <c r="A31" s="17" t="s">
        <v>72</v>
      </c>
      <c r="B31" s="23">
        <f>IF(B27&lt;=0,"N/A",IFERROR(B29*12,0))</f>
        <v>6000</v>
      </c>
      <c r="C31" s="14" t="s">
        <v>73</v>
      </c>
    </row>
    <row r="32" ht="26" customHeight="1" spans="1:3" x14ac:dyDescent="0.25">
      <c r="A32" s="17" t="s">
        <v>74</v>
      </c>
      <c r="B32" s="24">
        <f>IF(B27&lt;=0,"N/A",IFERROR(B30*12,0))</f>
        <v>450000</v>
      </c>
      <c r="C32" s="14" t="s">
        <v>75</v>
      </c>
    </row>
    <row r="33" ht="10" customHeight="1" x14ac:dyDescent="0.25"/>
    <row r="34" ht="28" customHeight="1" spans="1:3" x14ac:dyDescent="0.25">
      <c r="A34" s="15" t="s">
        <v>76</v>
      </c>
      <c r="B34" s="16"/>
      <c r="C34" s="16"/>
    </row>
    <row r="35" ht="26" customHeight="1" spans="1:3" x14ac:dyDescent="0.25">
      <c r="A35" s="17" t="s">
        <v>77</v>
      </c>
      <c r="B35" s="25">
        <v>600</v>
      </c>
      <c r="C35" s="14" t="s">
        <v>78</v>
      </c>
    </row>
    <row r="36" ht="26" customHeight="1" spans="1:3" x14ac:dyDescent="0.25">
      <c r="A36" s="17" t="s">
        <v>79</v>
      </c>
      <c r="B36" s="23">
        <f>IF(B27&lt;=0,"N/A",IFERROR(B35-B29,0))</f>
        <v>100</v>
      </c>
      <c r="C36" s="14" t="s">
        <v>80</v>
      </c>
    </row>
    <row r="37" ht="26" customHeight="1" spans="1:3" x14ac:dyDescent="0.25">
      <c r="A37" s="17" t="s">
        <v>81</v>
      </c>
      <c r="B37" s="20">
        <f>IF(B35=0,"N/A",IF(B27&lt;=0,"N/A",IFERROR((B35-B29)/B35,0)))</f>
        <v>0.16666666666666666</v>
      </c>
      <c r="C37" s="14" t="s">
        <v>82</v>
      </c>
    </row>
    <row r="38" ht="26" customHeight="1" spans="1:3" x14ac:dyDescent="0.25">
      <c r="A38" s="17" t="s">
        <v>83</v>
      </c>
      <c r="B38" s="19">
        <f>IFERROR(B35*B27-B16,0)</f>
        <v>3000</v>
      </c>
      <c r="C38" s="14" t="s">
        <v>84</v>
      </c>
    </row>
    <row r="39" ht="10" customHeight="1" x14ac:dyDescent="0.25"/>
    <row r="40" ht="28" customHeight="1" spans="1:3" x14ac:dyDescent="0.25">
      <c r="A40" s="15" t="s">
        <v>85</v>
      </c>
      <c r="B40" s="16"/>
      <c r="C40" s="16"/>
    </row>
    <row r="41" ht="26" customHeight="1" spans="1:3" x14ac:dyDescent="0.25">
      <c r="A41" s="17" t="s">
        <v>86</v>
      </c>
      <c r="B41" s="18">
        <v>5000</v>
      </c>
      <c r="C41" s="14" t="s">
        <v>87</v>
      </c>
    </row>
    <row r="42" ht="26" customHeight="1" spans="1:3" x14ac:dyDescent="0.25">
      <c r="A42" s="17" t="s">
        <v>88</v>
      </c>
      <c r="B42" s="26">
        <f>IF(B27&lt;=0,"N/A",IFERROR((B16+B41)/B27,0))</f>
        <v>666.67</v>
      </c>
      <c r="C42" s="14" t="s">
        <v>89</v>
      </c>
    </row>
    <row r="43" ht="26" customHeight="1" spans="1:3" x14ac:dyDescent="0.25">
      <c r="A43" s="17" t="s">
        <v>90</v>
      </c>
      <c r="B43" s="24">
        <f>IF(B27&lt;=0,"N/A",IFERROR(B42*B5,0))</f>
        <v>50000.25</v>
      </c>
      <c r="C43" s="14" t="s">
        <v>91</v>
      </c>
    </row>
    <row r="44" ht="10" customHeight="1" x14ac:dyDescent="0.25"/>
    <row r="45" ht="28" customHeight="1" spans="1:5" x14ac:dyDescent="0.25">
      <c r="A45" s="15" t="s">
        <v>92</v>
      </c>
      <c r="B45" s="16"/>
      <c r="C45" s="16"/>
      <c r="D45" s="16"/>
      <c r="E45" s="16"/>
    </row>
    <row r="46" ht="32" customHeight="1" spans="1:5" x14ac:dyDescent="0.25">
      <c r="A46" s="27" t="s">
        <v>93</v>
      </c>
      <c r="B46" s="27" t="s">
        <v>94</v>
      </c>
      <c r="C46" s="27" t="s">
        <v>95</v>
      </c>
      <c r="D46" s="27" t="s">
        <v>96</v>
      </c>
      <c r="E46" s="27" t="s">
        <v>97</v>
      </c>
    </row>
    <row r="47" ht="26" customHeight="1" spans="1:5" x14ac:dyDescent="0.25">
      <c r="A47" s="28" t="s">
        <v>98</v>
      </c>
      <c r="B47" s="29">
        <f>B5*0.8</f>
        <v>60</v>
      </c>
      <c r="C47" s="29">
        <f>B47-B24</f>
        <v>15</v>
      </c>
      <c r="D47" s="30">
        <f>IF(C47&lt;=0,"N/A",IFERROR(B16/C47,0))</f>
        <v>1000</v>
      </c>
      <c r="E47" s="31">
        <f>IF(C47&lt;=0,"N/A",IFERROR(D47*B47,0))</f>
        <v>60000</v>
      </c>
    </row>
    <row r="48" ht="26" customHeight="1" spans="1:5" x14ac:dyDescent="0.25">
      <c r="A48" s="32" t="s">
        <v>99</v>
      </c>
      <c r="B48" s="33">
        <f>B5*0.9</f>
        <v>67.5</v>
      </c>
      <c r="C48" s="33">
        <f>B48-B24</f>
        <v>22.5</v>
      </c>
      <c r="D48" s="34">
        <f>IF(C48&lt;=0,"N/A",IFERROR(B16/C48,0))</f>
        <v>666.67</v>
      </c>
      <c r="E48" s="35">
        <f>IF(C48&lt;=0,"N/A",IFERROR(D48*B48,0))</f>
        <v>45000.23</v>
      </c>
    </row>
    <row r="49" ht="26" customHeight="1" spans="1:5" x14ac:dyDescent="0.25">
      <c r="A49" s="28" t="s">
        <v>100</v>
      </c>
      <c r="B49" s="29">
        <f>B5</f>
        <v>75</v>
      </c>
      <c r="C49" s="29">
        <f>B49-B24</f>
        <v>30</v>
      </c>
      <c r="D49" s="30">
        <f>IF(C49&lt;=0,"N/A",IFERROR(B16/C49,0))</f>
        <v>500</v>
      </c>
      <c r="E49" s="31">
        <f>IF(C49&lt;=0,"N/A",IFERROR(D49*B49,0))</f>
        <v>37500</v>
      </c>
    </row>
    <row r="50" ht="26" customHeight="1" spans="1:5" x14ac:dyDescent="0.25">
      <c r="A50" s="32" t="s">
        <v>101</v>
      </c>
      <c r="B50" s="33">
        <f>B5*1.1</f>
        <v>82.5</v>
      </c>
      <c r="C50" s="33">
        <f>B50-B24</f>
        <v>37.5</v>
      </c>
      <c r="D50" s="34">
        <f>IF(C50&lt;=0,"N/A",IFERROR(B16/C50,0))</f>
        <v>400</v>
      </c>
      <c r="E50" s="35">
        <f>IF(C50&lt;=0,"N/A",IFERROR(D50*B50,0))</f>
        <v>33000</v>
      </c>
    </row>
    <row r="51" ht="26" customHeight="1" spans="1:5" x14ac:dyDescent="0.25">
      <c r="A51" s="28" t="s">
        <v>102</v>
      </c>
      <c r="B51" s="29">
        <f>B5*1.2</f>
        <v>90</v>
      </c>
      <c r="C51" s="29">
        <f>B51-B24</f>
        <v>45</v>
      </c>
      <c r="D51" s="30">
        <f>IF(C51&lt;=0,"N/A",IFERROR(B16/C51,0))</f>
        <v>333.33</v>
      </c>
      <c r="E51" s="31">
        <f>IF(C51&lt;=0,"N/A",IFERROR(D51*B51,0))</f>
        <v>29999.7</v>
      </c>
    </row>
    <row r="52" ht="10" customHeight="1" x14ac:dyDescent="0.25"/>
    <row r="53" ht="28" customHeight="1" spans="1:3" x14ac:dyDescent="0.25">
      <c r="A53" s="15" t="s">
        <v>103</v>
      </c>
      <c r="B53" s="16"/>
      <c r="C53" s="16"/>
    </row>
    <row r="54" ht="26" customHeight="1" spans="1:3" x14ac:dyDescent="0.25">
      <c r="A54" s="17" t="s">
        <v>104</v>
      </c>
      <c r="B54" s="25">
        <v>500</v>
      </c>
      <c r="C54" s="14" t="s">
        <v>105</v>
      </c>
    </row>
    <row r="55" ht="26" customHeight="1" spans="1:3" x14ac:dyDescent="0.25">
      <c r="A55" s="17" t="s">
        <v>106</v>
      </c>
      <c r="B55" s="19">
        <f>IF(B54=0,"N/A",(B16/B54)+B24)</f>
        <v>75</v>
      </c>
      <c r="C55" s="14" t="s">
        <v>107</v>
      </c>
    </row>
    <row r="56" ht="26" customHeight="1" spans="1:3" x14ac:dyDescent="0.25">
      <c r="A56" s="17" t="s">
        <v>108</v>
      </c>
      <c r="B56" s="24">
        <f>IF(B54=0,"N/A",B55*B54)</f>
        <v>37500</v>
      </c>
      <c r="C56" s="14" t="s">
        <v>109</v>
      </c>
    </row>
    <row r="57" ht="10" customHeight="1" x14ac:dyDescent="0.25"/>
    <row r="58" ht="28" customHeight="1" spans="1:3" x14ac:dyDescent="0.25">
      <c r="A58" s="15" t="s">
        <v>110</v>
      </c>
      <c r="B58" s="16"/>
      <c r="C58" s="16"/>
    </row>
    <row r="59" ht="26" customHeight="1" spans="1:3" x14ac:dyDescent="0.25">
      <c r="A59" s="17" t="s">
        <v>111</v>
      </c>
      <c r="B59" s="23">
        <f>IF(B27&lt;=0,"N/A",IF(B35=0,"N/A",ROUNDUP(B29/B35,0)))</f>
        <v>1</v>
      </c>
      <c r="C59" s="14" t="s">
        <v>112</v>
      </c>
    </row>
    <row r="60" ht="26" customHeight="1" spans="1:3" x14ac:dyDescent="0.25">
      <c r="A60" s="17" t="s">
        <v>113</v>
      </c>
      <c r="B60" s="36" t="str">
        <f>IF(B59="N/A","N/A",TEXT(DATE(YEAR(TODAY()),MONTH(TODAY())+B59,1),"MMM YYYY"))</f>
        <v>N/A</v>
      </c>
      <c r="C60" s="14" t="s">
        <v>114</v>
      </c>
    </row>
    <row r="61" ht="10" customHeight="1" x14ac:dyDescent="0.25"/>
    <row r="62" ht="28" customHeight="1" spans="1:6" x14ac:dyDescent="0.25">
      <c r="A62" s="15" t="s">
        <v>115</v>
      </c>
      <c r="B62" s="16"/>
      <c r="C62" s="16"/>
      <c r="D62" s="16"/>
      <c r="E62" s="16"/>
      <c r="F62" s="16"/>
    </row>
    <row r="63" ht="32" customHeight="1" spans="1:6" x14ac:dyDescent="0.25">
      <c r="A63" s="27" t="s">
        <v>116</v>
      </c>
      <c r="B63" s="27" t="s">
        <v>117</v>
      </c>
      <c r="C63" s="27" t="s">
        <v>20</v>
      </c>
      <c r="D63" s="27" t="s">
        <v>21</v>
      </c>
      <c r="E63" s="27" t="s">
        <v>118</v>
      </c>
      <c r="F63" s="27" t="s">
        <v>119</v>
      </c>
    </row>
    <row r="64" ht="26" customHeight="1" spans="1:6" x14ac:dyDescent="0.25">
      <c r="A64" s="28" t="s">
        <v>120</v>
      </c>
      <c r="B64" s="30">
        <f>IF(B27&lt;=0,"N/A",0.25*B29)</f>
        <v>125</v>
      </c>
      <c r="C64" s="31">
        <f>IF(B27&lt;=0,"N/A",B64*B5)</f>
        <v>9375</v>
      </c>
      <c r="D64" s="31">
        <f>IF(B27&lt;=0,"N/A",B16+B64*B24)</f>
        <v>20625</v>
      </c>
      <c r="E64" s="29">
        <f>IF(B27&lt;=0,"N/A",C64-D64)</f>
        <v>-11250</v>
      </c>
      <c r="F64" s="37">
        <f>IF(B27&lt;=0,"N/A",IF(C64=0,"",E64/C64))</f>
        <v>-1.2</v>
      </c>
    </row>
    <row r="65" ht="26" customHeight="1" spans="1:6" x14ac:dyDescent="0.25">
      <c r="A65" s="32" t="s">
        <v>121</v>
      </c>
      <c r="B65" s="34">
        <f>IF(B27&lt;=0,"N/A",0.5*B29)</f>
        <v>250</v>
      </c>
      <c r="C65" s="35">
        <f>IF(B27&lt;=0,"N/A",B65*B5)</f>
        <v>18750</v>
      </c>
      <c r="D65" s="35">
        <f>IF(B27&lt;=0,"N/A",B16+B65*B24)</f>
        <v>26250</v>
      </c>
      <c r="E65" s="33">
        <f>IF(B27&lt;=0,"N/A",C65-D65)</f>
        <v>-7500</v>
      </c>
      <c r="F65" s="38">
        <f>IF(B27&lt;=0,"N/A",IF(C65=0,"",E65/C65))</f>
        <v>-0.4</v>
      </c>
    </row>
    <row r="66" ht="26" customHeight="1" spans="1:6" x14ac:dyDescent="0.25">
      <c r="A66" s="28" t="s">
        <v>122</v>
      </c>
      <c r="B66" s="30">
        <f>IF(B27&lt;=0,"N/A",0.75*B29)</f>
        <v>375</v>
      </c>
      <c r="C66" s="31">
        <f>IF(B27&lt;=0,"N/A",B66*B5)</f>
        <v>28125</v>
      </c>
      <c r="D66" s="31">
        <f>IF(B27&lt;=0,"N/A",B16+B66*B24)</f>
        <v>31875</v>
      </c>
      <c r="E66" s="29">
        <f>IF(B27&lt;=0,"N/A",C66-D66)</f>
        <v>-3750</v>
      </c>
      <c r="F66" s="37">
        <f>IF(B27&lt;=0,"N/A",IF(C66=0,"",E66/C66))</f>
        <v>-0.13333333333333333</v>
      </c>
    </row>
    <row r="67" ht="26" customHeight="1" spans="1:6" x14ac:dyDescent="0.25">
      <c r="A67" s="32" t="s">
        <v>123</v>
      </c>
      <c r="B67" s="34">
        <f>IF(B27&lt;=0,"N/A",1*B29)</f>
        <v>500</v>
      </c>
      <c r="C67" s="35">
        <f>IF(B27&lt;=0,"N/A",B67*B5)</f>
        <v>37500</v>
      </c>
      <c r="D67" s="35">
        <f>IF(B27&lt;=0,"N/A",B16+B67*B24)</f>
        <v>37500</v>
      </c>
      <c r="E67" s="33">
        <f>IF(B27&lt;=0,"N/A",C67-D67)</f>
        <v>0</v>
      </c>
      <c r="F67" s="38">
        <f>IF(B27&lt;=0,"N/A",IF(C67=0,"",E67/C67))</f>
        <v>0</v>
      </c>
    </row>
    <row r="68" ht="26" customHeight="1" spans="1:6" x14ac:dyDescent="0.25">
      <c r="A68" s="28" t="s">
        <v>124</v>
      </c>
      <c r="B68" s="30">
        <f>IF(B27&lt;=0,"N/A",1.5*B29)</f>
        <v>750</v>
      </c>
      <c r="C68" s="31">
        <f>IF(B27&lt;=0,"N/A",B68*B5)</f>
        <v>56250</v>
      </c>
      <c r="D68" s="31">
        <f>IF(B27&lt;=0,"N/A",B16+B68*B24)</f>
        <v>48750</v>
      </c>
      <c r="E68" s="29">
        <f>IF(B27&lt;=0,"N/A",C68-D68)</f>
        <v>7500</v>
      </c>
      <c r="F68" s="37">
        <f>IF(B27&lt;=0,"N/A",IF(C68=0,"",E68/C68))</f>
        <v>0.13333333333333333</v>
      </c>
    </row>
    <row r="69" ht="14" customHeight="1" x14ac:dyDescent="0.25"/>
    <row r="70" ht="6" customHeight="1" x14ac:dyDescent="0.25"/>
    <row r="71" ht="20" customHeight="1" spans="1:6" x14ac:dyDescent="0.25">
      <c r="A71" s="12" t="s">
        <v>26</v>
      </c>
      <c r="B71" s="12"/>
      <c r="C71" s="12"/>
      <c r="D71" s="12"/>
      <c r="E71" s="12"/>
      <c r="F71" s="12"/>
    </row>
    <row r="72" ht="20" customHeight="1" spans="1:6" x14ac:dyDescent="0.25">
      <c r="A72" s="13" t="s">
        <v>27</v>
      </c>
      <c r="B72" s="13"/>
      <c r="C72" s="13"/>
      <c r="D72" s="13"/>
      <c r="E72" s="13"/>
      <c r="F72" s="13"/>
    </row>
  </sheetData>
  <sheetProtection sheet="1"/>
  <mergeCells count="4">
    <mergeCell ref="A1:C1"/>
    <mergeCell ref="A2:C2"/>
    <mergeCell ref="A71:F71"/>
    <mergeCell ref="A72:F72"/>
  </mergeCells>
  <hyperlinks>
    <hyperlink ref="A7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9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9" t="s">
        <v>125</v>
      </c>
    </row>
    <row r="2" ht="20" customHeight="1" spans="2:2" x14ac:dyDescent="0.25">
      <c r="B2" s="40" t="s">
        <v>126</v>
      </c>
    </row>
    <row r="3" ht="16" customHeight="1" x14ac:dyDescent="0.25"/>
    <row r="4" ht="28" customHeight="1" spans="1:2" x14ac:dyDescent="0.25">
      <c r="A4" s="41" t="s">
        <v>127</v>
      </c>
      <c r="B4" s="16"/>
    </row>
    <row r="6" ht="24" customHeight="1" spans="2:2" x14ac:dyDescent="0.25">
      <c r="B6" s="42" t="s">
        <v>128</v>
      </c>
    </row>
    <row r="7" ht="24" customHeight="1" spans="2:2" x14ac:dyDescent="0.25">
      <c r="B7" s="42" t="s">
        <v>129</v>
      </c>
    </row>
    <row r="8" ht="24" customHeight="1" spans="2:2" x14ac:dyDescent="0.25">
      <c r="B8" s="42" t="s">
        <v>130</v>
      </c>
    </row>
    <row r="9" ht="24" customHeight="1" spans="2:2" x14ac:dyDescent="0.25">
      <c r="B9" s="42" t="s">
        <v>131</v>
      </c>
    </row>
    <row r="10" ht="24" customHeight="1" spans="2:2" x14ac:dyDescent="0.25">
      <c r="B10" s="42" t="s">
        <v>132</v>
      </c>
    </row>
    <row r="11" ht="24" customHeight="1" spans="2:2" x14ac:dyDescent="0.25">
      <c r="B11" s="42" t="s">
        <v>133</v>
      </c>
    </row>
    <row r="12" ht="12" customHeight="1" x14ac:dyDescent="0.25"/>
    <row r="13" ht="28" customHeight="1" spans="1:2" x14ac:dyDescent="0.25">
      <c r="A13" s="41" t="s">
        <v>134</v>
      </c>
      <c r="B13" s="16"/>
    </row>
    <row r="15" ht="24" customHeight="1" spans="2:2" x14ac:dyDescent="0.25">
      <c r="B15" s="42" t="s">
        <v>135</v>
      </c>
    </row>
    <row r="16" ht="24" customHeight="1" spans="2:2" x14ac:dyDescent="0.25">
      <c r="B16" s="42" t="s">
        <v>136</v>
      </c>
    </row>
    <row r="17" ht="24" customHeight="1" spans="2:2" x14ac:dyDescent="0.25">
      <c r="B17" s="42" t="s">
        <v>137</v>
      </c>
    </row>
    <row r="18" ht="24" customHeight="1" spans="2:2" x14ac:dyDescent="0.25">
      <c r="B18" s="42" t="s">
        <v>138</v>
      </c>
    </row>
    <row r="19" ht="12" customHeight="1" x14ac:dyDescent="0.25"/>
    <row r="20" ht="28" customHeight="1" spans="1:2" x14ac:dyDescent="0.25">
      <c r="A20" s="41" t="s">
        <v>139</v>
      </c>
      <c r="B20" s="16"/>
    </row>
    <row r="22" ht="24" customHeight="1" spans="2:2" x14ac:dyDescent="0.25">
      <c r="B22" s="42" t="s">
        <v>140</v>
      </c>
    </row>
    <row r="23" ht="24" customHeight="1" spans="2:2" x14ac:dyDescent="0.25">
      <c r="B23" s="42" t="s">
        <v>141</v>
      </c>
    </row>
    <row r="24" ht="24" customHeight="1" spans="2:2" x14ac:dyDescent="0.25">
      <c r="B24" s="42" t="s">
        <v>142</v>
      </c>
    </row>
    <row r="25" ht="24" customHeight="1" spans="2:2" x14ac:dyDescent="0.25">
      <c r="B25" s="42" t="s">
        <v>143</v>
      </c>
    </row>
    <row r="26" ht="24" customHeight="1" spans="2:2" x14ac:dyDescent="0.25">
      <c r="B26" s="42" t="s">
        <v>144</v>
      </c>
    </row>
    <row r="27" ht="12" customHeight="1" x14ac:dyDescent="0.25"/>
    <row r="28" ht="28" customHeight="1" spans="1:2" x14ac:dyDescent="0.25">
      <c r="A28" s="41" t="s">
        <v>76</v>
      </c>
      <c r="B28" s="16"/>
    </row>
    <row r="30" ht="24" customHeight="1" spans="2:2" x14ac:dyDescent="0.25">
      <c r="B30" s="42" t="s">
        <v>145</v>
      </c>
    </row>
    <row r="31" ht="24" customHeight="1" spans="2:2" x14ac:dyDescent="0.25">
      <c r="B31" s="42" t="s">
        <v>146</v>
      </c>
    </row>
    <row r="32" ht="24" customHeight="1" spans="2:2" x14ac:dyDescent="0.25">
      <c r="B32" s="42" t="s">
        <v>147</v>
      </c>
    </row>
    <row r="33" ht="24" customHeight="1" spans="2:2" x14ac:dyDescent="0.25">
      <c r="B33" s="42" t="s">
        <v>148</v>
      </c>
    </row>
    <row r="34" ht="12" customHeight="1" x14ac:dyDescent="0.25"/>
    <row r="35" ht="28" customHeight="1" spans="1:2" x14ac:dyDescent="0.25">
      <c r="A35" s="41" t="s">
        <v>85</v>
      </c>
      <c r="B35" s="16"/>
    </row>
    <row r="37" ht="24" customHeight="1" spans="2:2" x14ac:dyDescent="0.25">
      <c r="B37" s="42" t="s">
        <v>149</v>
      </c>
    </row>
    <row r="38" ht="24" customHeight="1" spans="2:2" x14ac:dyDescent="0.25">
      <c r="B38" s="42" t="s">
        <v>150</v>
      </c>
    </row>
    <row r="39" ht="24" customHeight="1" spans="2:2" x14ac:dyDescent="0.25">
      <c r="B39" s="42" t="s">
        <v>151</v>
      </c>
    </row>
    <row r="40" ht="12" customHeight="1" x14ac:dyDescent="0.25"/>
    <row r="41" ht="28" customHeight="1" spans="1:2" x14ac:dyDescent="0.25">
      <c r="A41" s="41" t="s">
        <v>92</v>
      </c>
      <c r="B41" s="16"/>
    </row>
    <row r="43" ht="24" customHeight="1" spans="2:2" x14ac:dyDescent="0.25">
      <c r="B43" s="42" t="s">
        <v>152</v>
      </c>
    </row>
    <row r="44" ht="24" customHeight="1" spans="2:2" x14ac:dyDescent="0.25">
      <c r="B44" s="42" t="s">
        <v>153</v>
      </c>
    </row>
    <row r="45" ht="24" customHeight="1" spans="2:2" x14ac:dyDescent="0.25">
      <c r="B45" s="42" t="s">
        <v>154</v>
      </c>
    </row>
    <row r="46" ht="24" customHeight="1" spans="2:2" x14ac:dyDescent="0.25">
      <c r="B46" s="42" t="s">
        <v>155</v>
      </c>
    </row>
    <row r="47" ht="12" customHeight="1" x14ac:dyDescent="0.25"/>
    <row r="48" ht="28" customHeight="1" spans="1:2" x14ac:dyDescent="0.25">
      <c r="A48" s="41" t="s">
        <v>156</v>
      </c>
      <c r="B48" s="16"/>
    </row>
    <row r="50" ht="24" customHeight="1" spans="2:2" x14ac:dyDescent="0.25">
      <c r="B50" s="42" t="s">
        <v>157</v>
      </c>
    </row>
    <row r="51" ht="24" customHeight="1" spans="2:2" x14ac:dyDescent="0.25">
      <c r="B51" s="42" t="s">
        <v>158</v>
      </c>
    </row>
    <row r="52" ht="24" customHeight="1" spans="2:2" x14ac:dyDescent="0.25">
      <c r="B52" s="42" t="s">
        <v>159</v>
      </c>
    </row>
    <row r="53" ht="24" customHeight="1" spans="2:2" x14ac:dyDescent="0.25">
      <c r="B53" s="42" t="s">
        <v>160</v>
      </c>
    </row>
    <row r="54" ht="12" customHeight="1" x14ac:dyDescent="0.25"/>
    <row r="55" ht="28" customHeight="1" spans="1:2" x14ac:dyDescent="0.25">
      <c r="A55" s="41" t="s">
        <v>110</v>
      </c>
      <c r="B55" s="16"/>
    </row>
    <row r="57" ht="24" customHeight="1" spans="2:2" x14ac:dyDescent="0.25">
      <c r="B57" s="42" t="s">
        <v>161</v>
      </c>
    </row>
    <row r="58" ht="24" customHeight="1" spans="2:2" x14ac:dyDescent="0.25">
      <c r="B58" s="42" t="s">
        <v>162</v>
      </c>
    </row>
    <row r="59" ht="24" customHeight="1" spans="2:2" x14ac:dyDescent="0.25">
      <c r="B59" s="42" t="s">
        <v>163</v>
      </c>
    </row>
    <row r="60" ht="12" customHeight="1" x14ac:dyDescent="0.25"/>
    <row r="61" ht="28" customHeight="1" spans="1:2" x14ac:dyDescent="0.25">
      <c r="A61" s="41" t="s">
        <v>115</v>
      </c>
      <c r="B61" s="16"/>
    </row>
    <row r="63" ht="24" customHeight="1" spans="2:2" x14ac:dyDescent="0.25">
      <c r="B63" s="42" t="s">
        <v>164</v>
      </c>
    </row>
    <row r="64" ht="24" customHeight="1" spans="2:2" x14ac:dyDescent="0.25">
      <c r="B64" s="42" t="s">
        <v>165</v>
      </c>
    </row>
    <row r="65" ht="24" customHeight="1" spans="2:2" x14ac:dyDescent="0.25">
      <c r="B65" s="42" t="s">
        <v>166</v>
      </c>
    </row>
    <row r="66" ht="24" customHeight="1" spans="2:2" x14ac:dyDescent="0.25">
      <c r="B66" s="42" t="s">
        <v>167</v>
      </c>
    </row>
    <row r="67" ht="12" customHeight="1" x14ac:dyDescent="0.25"/>
    <row r="68" ht="28" customHeight="1" spans="1:2" x14ac:dyDescent="0.25">
      <c r="A68" s="41" t="s">
        <v>168</v>
      </c>
      <c r="B68" s="16"/>
    </row>
    <row r="70" ht="24" customHeight="1" spans="2:2" x14ac:dyDescent="0.25">
      <c r="B70" s="42" t="s">
        <v>169</v>
      </c>
    </row>
    <row r="71" ht="24" customHeight="1" spans="2:2" x14ac:dyDescent="0.25">
      <c r="B71" s="42" t="s">
        <v>170</v>
      </c>
    </row>
    <row r="72" ht="24" customHeight="1" spans="2:2" x14ac:dyDescent="0.25">
      <c r="B72" s="42" t="s">
        <v>171</v>
      </c>
    </row>
    <row r="73" ht="12" customHeight="1" x14ac:dyDescent="0.25"/>
    <row r="74" ht="28" customHeight="1" spans="1:2" x14ac:dyDescent="0.25">
      <c r="A74" s="41" t="s">
        <v>172</v>
      </c>
      <c r="B74" s="16"/>
    </row>
    <row r="76" ht="24" customHeight="1" spans="2:2" x14ac:dyDescent="0.25">
      <c r="B76" s="42" t="s">
        <v>173</v>
      </c>
    </row>
    <row r="77" ht="24" customHeight="1" spans="2:2" x14ac:dyDescent="0.25">
      <c r="B77" s="42" t="s">
        <v>174</v>
      </c>
    </row>
    <row r="78" ht="24" customHeight="1" spans="2:2" x14ac:dyDescent="0.25">
      <c r="B78" s="42" t="s">
        <v>175</v>
      </c>
    </row>
    <row r="79" ht="12" customHeight="1" x14ac:dyDescent="0.25"/>
    <row r="80" ht="28" customHeight="1" spans="1:2" x14ac:dyDescent="0.25">
      <c r="A80" s="41" t="s">
        <v>176</v>
      </c>
      <c r="B80" s="16"/>
    </row>
    <row r="82" ht="24" customHeight="1" spans="2:2" x14ac:dyDescent="0.25">
      <c r="B82" s="42" t="s">
        <v>177</v>
      </c>
    </row>
    <row r="83" ht="24" customHeight="1" spans="2:2" x14ac:dyDescent="0.25">
      <c r="B83" s="42" t="s">
        <v>178</v>
      </c>
    </row>
    <row r="84" ht="24" customHeight="1" spans="2:2" x14ac:dyDescent="0.25">
      <c r="B84" s="42" t="s">
        <v>179</v>
      </c>
    </row>
    <row r="85" ht="24" customHeight="1" spans="2:2" x14ac:dyDescent="0.25">
      <c r="B85" s="42" t="s">
        <v>180</v>
      </c>
    </row>
    <row r="86" ht="12" customHeight="1" x14ac:dyDescent="0.25"/>
    <row r="87" ht="28" customHeight="1" spans="1:2" x14ac:dyDescent="0.25">
      <c r="A87" s="41" t="s">
        <v>181</v>
      </c>
      <c r="B87" s="16"/>
    </row>
    <row r="89" ht="24" customHeight="1" spans="2:2" x14ac:dyDescent="0.25">
      <c r="B89" s="42" t="s">
        <v>182</v>
      </c>
    </row>
    <row r="90" ht="24" customHeight="1" spans="2:2" x14ac:dyDescent="0.25">
      <c r="B90" s="42" t="s">
        <v>183</v>
      </c>
    </row>
    <row r="91" ht="12" customHeight="1" x14ac:dyDescent="0.25"/>
    <row r="92" ht="6" customHeight="1" x14ac:dyDescent="0.25"/>
    <row r="93" ht="20" customHeight="1" spans="1:2" x14ac:dyDescent="0.25">
      <c r="A93" s="43" t="s">
        <v>26</v>
      </c>
      <c r="B93" s="43"/>
    </row>
    <row r="94" ht="20" customHeight="1" spans="1:2" x14ac:dyDescent="0.25">
      <c r="A94" s="44" t="s">
        <v>27</v>
      </c>
      <c r="B94" s="44"/>
    </row>
  </sheetData>
  <mergeCells count="2">
    <mergeCell ref="A93:B93"/>
    <mergeCell ref="A94:B94"/>
  </mergeCells>
  <hyperlinks>
    <hyperlink ref="A9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Setup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Break-Even Analysis</dc:title>
  <dc:subject>Financial Template</dc:subject>
  <dc:description>Free Break-Even Analysis template by FinancialAha.com</dc:description>
  <cp:keywords>finance, template, spreadsheet, FinancialAha</cp:keywords>
  <cp:category>Finance</cp:category>
  <cp:lastModifiedBy>Unknown</cp:lastModifiedBy>
  <cp:lastPrinted>2026-04-01T17:59:51Z</cp:lastPrinted>
  <dcterms:created xsi:type="dcterms:W3CDTF">2026-04-01T17:59:51Z</dcterms:created>
  <dcterms:modified xsi:type="dcterms:W3CDTF">2026-04-01T17:59:51Z</dcterms:modified>
</cp:coreProperties>
</file>