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Auto Loan Setup" state="visible" r:id="rId5"/>
    <sheet sheetId="3" name="Amortization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<sst xmlns="http://schemas.openxmlformats.org/spreadsheetml/2006/main" count="110" uniqueCount="88">
  <si>
    <t>Auto Loan Calculator</t>
  </si>
  <si>
    <t>Payment breakdown and amortization for your vehicle loan</t>
  </si>
  <si>
    <t>by FinancialAha.com</t>
  </si>
  <si>
    <t>MONTHLY PAYMENT</t>
  </si>
  <si>
    <t>LOAN AMOUNT</t>
  </si>
  <si>
    <t>TOTAL INTEREST</t>
  </si>
  <si>
    <t>your monthly car payment</t>
  </si>
  <si>
    <t>amount financed</t>
  </si>
  <si>
    <t>total interest over loan life</t>
  </si>
  <si>
    <t>VEHICLE PRICE</t>
  </si>
  <si>
    <t>TOTAL LOAN COST</t>
  </si>
  <si>
    <t>TOTAL OUT OF POCKET</t>
  </si>
  <si>
    <t>sticker price</t>
  </si>
  <si>
    <t>principal + interest</t>
  </si>
  <si>
    <t>everything you pay (incl. down payment)</t>
  </si>
  <si>
    <t>PRINCIPAL VS. INTEREST OVER TIME</t>
  </si>
  <si>
    <t>REMAINING BALANCE</t>
  </si>
  <si>
    <t>Created with FinancialAha.com - Free financial tools and templates</t>
  </si>
  <si>
    <t>Get a premium spreadsheet from FinancialAha.com</t>
  </si>
  <si>
    <t/>
  </si>
  <si>
    <t>Mo 1</t>
  </si>
  <si>
    <t>Mo 6</t>
  </si>
  <si>
    <t>Mo 11</t>
  </si>
  <si>
    <t>Mo 16</t>
  </si>
  <si>
    <t>Mo 21</t>
  </si>
  <si>
    <t>Mo 26</t>
  </si>
  <si>
    <t>Mo 31</t>
  </si>
  <si>
    <t>Mo 36</t>
  </si>
  <si>
    <t>Mo 41</t>
  </si>
  <si>
    <t>Mo 46</t>
  </si>
  <si>
    <t>Mo 51</t>
  </si>
  <si>
    <t>Mo 56</t>
  </si>
  <si>
    <t>Principal</t>
  </si>
  <si>
    <t>Interest</t>
  </si>
  <si>
    <t>Balance</t>
  </si>
  <si>
    <t>Auto Loan Setup</t>
  </si>
  <si>
    <t>Enter your vehicle and loan details in the yellow cells below.</t>
  </si>
  <si>
    <t>VEHICLE &amp; LOAN DETAILS</t>
  </si>
  <si>
    <t>Vehicle Price</t>
  </si>
  <si>
    <t>Sticker or negotiated price</t>
  </si>
  <si>
    <t>Down Payment</t>
  </si>
  <si>
    <t>Cash you put down</t>
  </si>
  <si>
    <t>Trade-In Value</t>
  </si>
  <si>
    <t>Value of your current vehicle</t>
  </si>
  <si>
    <t>Loan Amount (financed)</t>
  </si>
  <si>
    <t>Annual Interest Rate (APR)</t>
  </si>
  <si>
    <t>e.g. 5.90%</t>
  </si>
  <si>
    <t>Loan Term (months)</t>
  </si>
  <si>
    <t>36, 48, 60, or 72 months</t>
  </si>
  <si>
    <t>CALCULATED RESULTS</t>
  </si>
  <si>
    <t>Monthly Payment</t>
  </si>
  <si>
    <t>Total Interest</t>
  </si>
  <si>
    <t>Total Loan Cost</t>
  </si>
  <si>
    <t>Total Out of Pocket</t>
  </si>
  <si>
    <t>Amortization Schedule</t>
  </si>
  <si>
    <t>Month-by-month payment breakdown for your auto loan.</t>
  </si>
  <si>
    <t>#</t>
  </si>
  <si>
    <t>Payment</t>
  </si>
  <si>
    <t>Total Interest Paid</t>
  </si>
  <si>
    <t>How to Use This Template</t>
  </si>
  <si>
    <t>Auto Loan Calculator by FinancialAha.com</t>
  </si>
  <si>
    <t>GETTING STARTED</t>
  </si>
  <si>
    <t>1. Go to the "Auto Loan Setup" sheet and enter your vehicle details in the yellow cells.</t>
  </si>
  <si>
    <t>2. Enter the Vehicle Price, Down Payment, and Trade-In Value.</t>
  </si>
  <si>
    <t>3. The Loan Amount calculates automatically (Price - Down Payment - Trade-In).</t>
  </si>
  <si>
    <t>4. Enter the Annual Interest Rate (APR) and Loan Term in months.</t>
  </si>
  <si>
    <t>5. The monthly payment and totals update automatically.</t>
  </si>
  <si>
    <t>UNDERSTANDING THE DASHBOARD</t>
  </si>
  <si>
    <t>Monthly Payment shows what you will pay each month.</t>
  </si>
  <si>
    <t>Loan Amount shows how much you are financing.</t>
  </si>
  <si>
    <t>Total Interest shows how much extra you pay the lender over the loan life.</t>
  </si>
  <si>
    <t>Total Out of Pocket includes down payment, all loan payments, minus trade-in credit.</t>
  </si>
  <si>
    <t>Charts show how principal and interest portions change over time.</t>
  </si>
  <si>
    <t>READING THE AMORTIZATION SCHEDULE</t>
  </si>
  <si>
    <t>Each row represents one monthly payment.</t>
  </si>
  <si>
    <t>Principal is the portion that reduces your loan balance.</t>
  </si>
  <si>
    <t>Interest is the portion that goes to the lender.</t>
  </si>
  <si>
    <t>Early payments are mostly interest - later payments are mostly principal.</t>
  </si>
  <si>
    <t>Total Interest Paid shows cumulative interest paid through that month.</t>
  </si>
  <si>
    <t>TIPS</t>
  </si>
  <si>
    <t>Compare different loan terms (36, 48, 60, 72 months) to see the impact on total cost.</t>
  </si>
  <si>
    <t>A larger down payment reduces your monthly payment and total interest.</t>
  </si>
  <si>
    <t>Even a small rate difference (e.g. 4.9% vs 5.9%) saves significant money over the loan.</t>
  </si>
  <si>
    <t>Consider the total out-of-pocket cost, not just the monthly payment.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</si>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</sst>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$#,##0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165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165" fontId="16" fillId="2" borderId="5" xfId="0" applyNumberFormat="1" applyFont="1" applyFill="1" applyBorder="1" applyAlignment="1" applyProtection="1">
      <alignment horizontal="right" vertical="center"/>
      <protection locked="0"/>
    </xf>
    <xf numFmtId="165" fontId="17" fillId="3" borderId="6" xfId="0" applyNumberFormat="1" applyFont="1" applyFill="1" applyBorder="1" applyAlignment="1" applyProtection="1">
      <alignment horizontal="right" vertical="center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3" borderId="6" xfId="0" applyNumberFormat="1" applyFont="1" applyFill="1" applyBorder="1" applyAlignment="1" applyProtection="1">
      <alignment horizontal="right" vertical="center"/>
    </xf>
    <xf numFmtId="0" fontId="18" fillId="4" borderId="0" xfId="0" applyFont="1" applyFill="1" applyAlignment="1" applyProtection="1">
      <alignment horizontal="left" vertical="center" wrapText="1" indent="1"/>
    </xf>
    <xf numFmtId="0" fontId="18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4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4" fontId="16" fillId="5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Principal vs. Interest Per Payment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Principal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Mo 1</c:v>
                </c:pt>
                <c:pt idx="1">
                  <c:v>Mo 6</c:v>
                </c:pt>
                <c:pt idx="2">
                  <c:v>Mo 11</c:v>
                </c:pt>
                <c:pt idx="3">
                  <c:v>Mo 16</c:v>
                </c:pt>
                <c:pt idx="4">
                  <c:v>Mo 21</c:v>
                </c:pt>
                <c:pt idx="5">
                  <c:v>Mo 26</c:v>
                </c:pt>
                <c:pt idx="6">
                  <c:v>Mo 31</c:v>
                </c:pt>
                <c:pt idx="7">
                  <c:v>Mo 36</c:v>
                </c:pt>
                <c:pt idx="8">
                  <c:v>Mo 41</c:v>
                </c:pt>
                <c:pt idx="9">
                  <c:v>Mo 46</c:v>
                </c:pt>
                <c:pt idx="10">
                  <c:v>Mo 51</c:v>
                </c:pt>
                <c:pt idx="11">
                  <c:v>Mo 56</c:v>
                </c:pt>
              </c:strCache>
            </c:strRef>
          </c:cat>
          <c:val>
            <c:numRef>
              <c:f>Dashboard!$C$50:$N$50</c:f>
              <c:numCache>
                <c:formatCode>$#,##0</c:formatCode>
                <c:ptCount val="12"/>
                <c:pt idx="0">
                  <c:v>387.98</c:v>
                </c:pt>
                <c:pt idx="1">
                  <c:v>397.61</c:v>
                </c:pt>
                <c:pt idx="2">
                  <c:v>407.48</c:v>
                </c:pt>
                <c:pt idx="3">
                  <c:v>417.6</c:v>
                </c:pt>
                <c:pt idx="4">
                  <c:v>427.97</c:v>
                </c:pt>
                <c:pt idx="5">
                  <c:v>438.59</c:v>
                </c:pt>
                <c:pt idx="6">
                  <c:v>449.48</c:v>
                </c:pt>
                <c:pt idx="7">
                  <c:v>460.64</c:v>
                </c:pt>
                <c:pt idx="8">
                  <c:v>472.08</c:v>
                </c:pt>
                <c:pt idx="9">
                  <c:v>483.8</c:v>
                </c:pt>
                <c:pt idx="10">
                  <c:v>495.81</c:v>
                </c:pt>
                <c:pt idx="11">
                  <c:v>508.12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Dashboard!$C$49:$N$49</c:f>
              <c:strCache>
                <c:ptCount val="12"/>
                <c:pt idx="0">
                  <c:v>Mo 1</c:v>
                </c:pt>
                <c:pt idx="1">
                  <c:v>Mo 6</c:v>
                </c:pt>
                <c:pt idx="2">
                  <c:v>Mo 11</c:v>
                </c:pt>
                <c:pt idx="3">
                  <c:v>Mo 16</c:v>
                </c:pt>
                <c:pt idx="4">
                  <c:v>Mo 21</c:v>
                </c:pt>
                <c:pt idx="5">
                  <c:v>Mo 26</c:v>
                </c:pt>
                <c:pt idx="6">
                  <c:v>Mo 31</c:v>
                </c:pt>
                <c:pt idx="7">
                  <c:v>Mo 36</c:v>
                </c:pt>
                <c:pt idx="8">
                  <c:v>Mo 41</c:v>
                </c:pt>
                <c:pt idx="9">
                  <c:v>Mo 46</c:v>
                </c:pt>
                <c:pt idx="10">
                  <c:v>Mo 51</c:v>
                </c:pt>
                <c:pt idx="11">
                  <c:v>Mo 56</c:v>
                </c:pt>
              </c:strCache>
            </c:strRef>
          </c:cat>
          <c:val>
            <c:numRef>
              <c:f>Dashboard!$C$51:$N$51</c:f>
              <c:numCache>
                <c:formatCode>$#,##0</c:formatCode>
                <c:ptCount val="12"/>
                <c:pt idx="0">
                  <c:v>132.75</c:v>
                </c:pt>
                <c:pt idx="1">
                  <c:v>123.12</c:v>
                </c:pt>
                <c:pt idx="2">
                  <c:v>113.25</c:v>
                </c:pt>
                <c:pt idx="3">
                  <c:v>103.13</c:v>
                </c:pt>
                <c:pt idx="4">
                  <c:v>92.76</c:v>
                </c:pt>
                <c:pt idx="5">
                  <c:v>82.14</c:v>
                </c:pt>
                <c:pt idx="6">
                  <c:v>71.25</c:v>
                </c:pt>
                <c:pt idx="7">
                  <c:v>60.09</c:v>
                </c:pt>
                <c:pt idx="8">
                  <c:v>48.65</c:v>
                </c:pt>
                <c:pt idx="9">
                  <c:v>36.93</c:v>
                </c:pt>
                <c:pt idx="10">
                  <c:v>24.92</c:v>
                </c:pt>
                <c:pt idx="11">
                  <c:v>12.61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Remaining Loan Balance</a:t>
            </a:r>
          </a:p>
        </c:rich>
      </c:tx>
      <c:layout/>
      <c:overlay val="0"/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Dashboard!$B$53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Dashboard!$C$52:$N$52</c:f>
              <c:strCache>
                <c:ptCount val="12"/>
                <c:pt idx="0">
                  <c:v>Mo 1</c:v>
                </c:pt>
                <c:pt idx="1">
                  <c:v>Mo 6</c:v>
                </c:pt>
                <c:pt idx="2">
                  <c:v>Mo 11</c:v>
                </c:pt>
                <c:pt idx="3">
                  <c:v>Mo 16</c:v>
                </c:pt>
                <c:pt idx="4">
                  <c:v>Mo 21</c:v>
                </c:pt>
                <c:pt idx="5">
                  <c:v>Mo 26</c:v>
                </c:pt>
                <c:pt idx="6">
                  <c:v>Mo 31</c:v>
                </c:pt>
                <c:pt idx="7">
                  <c:v>Mo 36</c:v>
                </c:pt>
                <c:pt idx="8">
                  <c:v>Mo 41</c:v>
                </c:pt>
                <c:pt idx="9">
                  <c:v>Mo 46</c:v>
                </c:pt>
                <c:pt idx="10">
                  <c:v>Mo 51</c:v>
                </c:pt>
                <c:pt idx="11">
                  <c:v>Mo 56</c:v>
                </c:pt>
              </c:strCache>
            </c:strRef>
          </c:cat>
          <c:val>
            <c:numRef>
              <c:f>Dashboard!$C$53:$N$53</c:f>
              <c:numCache>
                <c:formatCode>$#,##0</c:formatCode>
                <c:ptCount val="12"/>
                <c:pt idx="0">
                  <c:v>26612.02</c:v>
                </c:pt>
                <c:pt idx="1">
                  <c:v>24643.32</c:v>
                </c:pt>
                <c:pt idx="2">
                  <c:v>22625.74</c:v>
                </c:pt>
                <c:pt idx="3">
                  <c:v>20558.07</c:v>
                </c:pt>
                <c:pt idx="4">
                  <c:v>18439.07</c:v>
                </c:pt>
                <c:pt idx="5">
                  <c:v>16267.46</c:v>
                </c:pt>
                <c:pt idx="6">
                  <c:v>14041.94</c:v>
                </c:pt>
                <c:pt idx="7">
                  <c:v>11761.17</c:v>
                </c:pt>
                <c:pt idx="8">
                  <c:v>9423.77</c:v>
                </c:pt>
                <c:pt idx="9">
                  <c:v>7028.34</c:v>
                </c:pt>
                <c:pt idx="10">
                  <c:v>4573.45</c:v>
                </c:pt>
                <c:pt idx="11">
                  <c:v>2057.61</c:v>
                </c:pt>
              </c:numCache>
            </c:numRef>
          </c:val>
        </c:ser>
        <c:axId val="111111111"/>
        <c:axId val="222222222"/>
      </c:area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N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'Auto Loan Setup'!C13</f>
        <v>520.73</v>
      </c>
      <c r="C5" s="5"/>
      <c r="E5" s="6">
        <f>'Auto Loan Setup'!C8</f>
        <v>27000</v>
      </c>
      <c r="F5" s="6"/>
      <c r="H5" s="7">
        <f>'Auto Loan Setup'!C14</f>
        <v>4243.85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6">
        <f>'Auto Loan Setup'!C5</f>
        <v>35000</v>
      </c>
      <c r="C9" s="6"/>
      <c r="E9" s="6">
        <f>'Auto Loan Setup'!C15</f>
        <v>31243.85</v>
      </c>
      <c r="F9" s="6"/>
      <c r="H9" s="6">
        <f>'Auto Loan Setup'!C16</f>
        <v>36243.85</v>
      </c>
      <c r="I9" s="6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9" t="s">
        <v>15</v>
      </c>
      <c r="C12" s="10"/>
      <c r="D12" s="10"/>
      <c r="E12" s="10"/>
      <c r="F12" s="10"/>
      <c r="G12" s="10"/>
      <c r="H12" s="10"/>
      <c r="I12" s="10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9" t="s">
        <v>16</v>
      </c>
      <c r="C29" s="10"/>
      <c r="D29" s="10"/>
      <c r="E29" s="10"/>
      <c r="F29" s="10"/>
      <c r="G29" s="10"/>
      <c r="H29" s="10"/>
      <c r="I29" s="10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1" t="s">
        <v>17</v>
      </c>
      <c r="B47" s="11"/>
      <c r="C47" s="11"/>
      <c r="D47" s="11"/>
      <c r="E47" s="11"/>
      <c r="F47" s="11"/>
      <c r="G47" s="11"/>
      <c r="H47" s="11"/>
      <c r="I47" s="11"/>
    </row>
    <row r="48" ht="20" customHeight="1" spans="1:9" x14ac:dyDescent="0.25">
      <c r="A48" s="12" t="s">
        <v>18</v>
      </c>
      <c r="B48" s="12"/>
      <c r="C48" s="12"/>
      <c r="D48" s="12"/>
      <c r="E48" s="12"/>
      <c r="F48" s="12"/>
      <c r="G48" s="12"/>
      <c r="H48" s="12"/>
      <c r="I48" s="12"/>
    </row>
    <row r="49" ht="1" customHeight="1" spans="2:14" x14ac:dyDescent="0.25">
      <c r="B49" s="13" t="s">
        <v>19</v>
      </c>
      <c r="C49" s="13" t="s">
        <v>20</v>
      </c>
      <c r="D49" s="13" t="s">
        <v>21</v>
      </c>
      <c r="E49" s="13" t="s">
        <v>22</v>
      </c>
      <c r="F49" s="13" t="s">
        <v>23</v>
      </c>
      <c r="G49" s="13" t="s">
        <v>24</v>
      </c>
      <c r="H49" s="13" t="s">
        <v>25</v>
      </c>
      <c r="I49" s="13" t="s">
        <v>26</v>
      </c>
      <c r="J49" s="13" t="s">
        <v>27</v>
      </c>
      <c r="K49" s="13" t="s">
        <v>28</v>
      </c>
      <c r="L49" s="13" t="s">
        <v>29</v>
      </c>
      <c r="M49" s="13" t="s">
        <v>30</v>
      </c>
      <c r="N49" s="13" t="s">
        <v>31</v>
      </c>
    </row>
    <row r="50" ht="1" customHeight="1" spans="2:14" x14ac:dyDescent="0.25">
      <c r="B50" s="13" t="s">
        <v>32</v>
      </c>
      <c r="C50" s="13">
        <f>IFERROR('Amortization Schedule'!D5,0)</f>
        <v>387.98</v>
      </c>
      <c r="D50" s="13">
        <f>IFERROR('Amortization Schedule'!D10,0)</f>
        <v>397.61</v>
      </c>
      <c r="E50" s="13">
        <f>IFERROR('Amortization Schedule'!D15,0)</f>
        <v>407.48</v>
      </c>
      <c r="F50" s="13">
        <f>IFERROR('Amortization Schedule'!D20,0)</f>
        <v>417.6</v>
      </c>
      <c r="G50" s="13">
        <f>IFERROR('Amortization Schedule'!D25,0)</f>
        <v>427.97</v>
      </c>
      <c r="H50" s="13">
        <f>IFERROR('Amortization Schedule'!D30,0)</f>
        <v>438.59</v>
      </c>
      <c r="I50" s="13">
        <f>IFERROR('Amortization Schedule'!D35,0)</f>
        <v>449.48</v>
      </c>
      <c r="J50" s="13">
        <f>IFERROR('Amortization Schedule'!D40,0)</f>
        <v>460.64</v>
      </c>
      <c r="K50" s="13">
        <f>IFERROR('Amortization Schedule'!D45,0)</f>
        <v>472.08</v>
      </c>
      <c r="L50" s="13">
        <f>IFERROR('Amortization Schedule'!D50,0)</f>
        <v>483.8</v>
      </c>
      <c r="M50" s="13">
        <f>IFERROR('Amortization Schedule'!D55,0)</f>
        <v>495.81</v>
      </c>
      <c r="N50" s="13">
        <f>IFERROR('Amortization Schedule'!D60,0)</f>
        <v>508.12</v>
      </c>
    </row>
    <row r="51" ht="1" customHeight="1" spans="2:14" x14ac:dyDescent="0.25">
      <c r="B51" s="13" t="s">
        <v>33</v>
      </c>
      <c r="C51" s="13">
        <f>IFERROR('Amortization Schedule'!E5,0)</f>
        <v>132.75</v>
      </c>
      <c r="D51" s="13">
        <f>IFERROR('Amortization Schedule'!E10,0)</f>
        <v>123.12</v>
      </c>
      <c r="E51" s="13">
        <f>IFERROR('Amortization Schedule'!E15,0)</f>
        <v>113.25</v>
      </c>
      <c r="F51" s="13">
        <f>IFERROR('Amortization Schedule'!E20,0)</f>
        <v>103.13</v>
      </c>
      <c r="G51" s="13">
        <f>IFERROR('Amortization Schedule'!E25,0)</f>
        <v>92.76</v>
      </c>
      <c r="H51" s="13">
        <f>IFERROR('Amortization Schedule'!E30,0)</f>
        <v>82.14</v>
      </c>
      <c r="I51" s="13">
        <f>IFERROR('Amortization Schedule'!E35,0)</f>
        <v>71.25</v>
      </c>
      <c r="J51" s="13">
        <f>IFERROR('Amortization Schedule'!E40,0)</f>
        <v>60.09</v>
      </c>
      <c r="K51" s="13">
        <f>IFERROR('Amortization Schedule'!E45,0)</f>
        <v>48.65</v>
      </c>
      <c r="L51" s="13">
        <f>IFERROR('Amortization Schedule'!E50,0)</f>
        <v>36.93</v>
      </c>
      <c r="M51" s="13">
        <f>IFERROR('Amortization Schedule'!E55,0)</f>
        <v>24.92</v>
      </c>
      <c r="N51" s="13">
        <f>IFERROR('Amortization Schedule'!E60,0)</f>
        <v>12.61</v>
      </c>
    </row>
    <row r="52" ht="1" customHeight="1" spans="2:14" x14ac:dyDescent="0.25">
      <c r="B52" s="13" t="s">
        <v>19</v>
      </c>
      <c r="C52" s="13" t="s">
        <v>20</v>
      </c>
      <c r="D52" s="13" t="s">
        <v>21</v>
      </c>
      <c r="E52" s="13" t="s">
        <v>22</v>
      </c>
      <c r="F52" s="13" t="s">
        <v>23</v>
      </c>
      <c r="G52" s="13" t="s">
        <v>24</v>
      </c>
      <c r="H52" s="13" t="s">
        <v>25</v>
      </c>
      <c r="I52" s="13" t="s">
        <v>26</v>
      </c>
      <c r="J52" s="13" t="s">
        <v>27</v>
      </c>
      <c r="K52" s="13" t="s">
        <v>28</v>
      </c>
      <c r="L52" s="13" t="s">
        <v>29</v>
      </c>
      <c r="M52" s="13" t="s">
        <v>30</v>
      </c>
      <c r="N52" s="13" t="s">
        <v>31</v>
      </c>
    </row>
    <row r="53" ht="1" customHeight="1" spans="2:14" x14ac:dyDescent="0.25">
      <c r="B53" s="13" t="s">
        <v>34</v>
      </c>
      <c r="C53" s="13">
        <f>IFERROR('Amortization Schedule'!E5,0)</f>
        <v>26612.02</v>
      </c>
      <c r="D53" s="13">
        <f>IFERROR('Amortization Schedule'!E10,0)</f>
        <v>24643.32</v>
      </c>
      <c r="E53" s="13">
        <f>IFERROR('Amortization Schedule'!E15,0)</f>
        <v>22625.74</v>
      </c>
      <c r="F53" s="13">
        <f>IFERROR('Amortization Schedule'!E20,0)</f>
        <v>20558.07</v>
      </c>
      <c r="G53" s="13">
        <f>IFERROR('Amortization Schedule'!E25,0)</f>
        <v>18439.07</v>
      </c>
      <c r="H53" s="13">
        <f>IFERROR('Amortization Schedule'!E30,0)</f>
        <v>16267.46</v>
      </c>
      <c r="I53" s="13">
        <f>IFERROR('Amortization Schedule'!E35,0)</f>
        <v>14041.94</v>
      </c>
      <c r="J53" s="13">
        <f>IFERROR('Amortization Schedule'!E40,0)</f>
        <v>11761.17</v>
      </c>
      <c r="K53" s="13">
        <f>IFERROR('Amortization Schedule'!E45,0)</f>
        <v>9423.77</v>
      </c>
      <c r="L53" s="13">
        <f>IFERROR('Amortization Schedule'!E50,0)</f>
        <v>7028.34</v>
      </c>
      <c r="M53" s="13">
        <f>IFERROR('Amortization Schedule'!E55,0)</f>
        <v>4573.45</v>
      </c>
      <c r="N53" s="13">
        <f>IFERROR('Amortization Schedule'!E60,0)</f>
        <v>2057.61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20"/>
  <sheetViews>
    <sheetView workbookViewId="0" showGridLines="0" zoomScale="125"/>
  </sheetViews>
  <sheetFormatPr defaultRowHeight="15" outlineLevelRow="0" outlineLevelCol="0" x14ac:dyDescent="55"/>
  <cols>
    <col min="1" max="1" width="30" customWidth="1"/>
    <col min="2" max="2" width="5" customWidth="1"/>
    <col min="3" max="3" width="20" customWidth="1"/>
    <col min="4" max="4" width="30" customWidth="1"/>
  </cols>
  <sheetData>
    <row r="1" ht="48" customHeight="1" spans="1:4" x14ac:dyDescent="0.25">
      <c r="A1" s="14" t="s">
        <v>35</v>
      </c>
      <c r="B1" s="14"/>
      <c r="C1" s="14"/>
      <c r="D1" s="14"/>
    </row>
    <row r="2" ht="24" customHeight="1" spans="1:4" x14ac:dyDescent="0.25">
      <c r="A2" s="15" t="s">
        <v>36</v>
      </c>
      <c r="B2" s="15"/>
      <c r="C2" s="15"/>
      <c r="D2" s="15"/>
    </row>
    <row r="3" ht="14" customHeight="1" x14ac:dyDescent="0.25"/>
    <row r="4" ht="28" customHeight="1" spans="1:4" x14ac:dyDescent="0.25">
      <c r="A4" s="9" t="s">
        <v>37</v>
      </c>
      <c r="B4" s="10"/>
      <c r="C4" s="10"/>
      <c r="D4" s="10"/>
    </row>
    <row r="5" ht="26" customHeight="1" spans="1:4" x14ac:dyDescent="0.25">
      <c r="A5" s="16" t="s">
        <v>38</v>
      </c>
      <c r="C5" s="17">
        <v>35000</v>
      </c>
      <c r="D5" s="15" t="s">
        <v>39</v>
      </c>
    </row>
    <row r="6" ht="26" customHeight="1" spans="1:4" x14ac:dyDescent="0.25">
      <c r="A6" s="16" t="s">
        <v>40</v>
      </c>
      <c r="C6" s="17">
        <v>5000</v>
      </c>
      <c r="D6" s="15" t="s">
        <v>41</v>
      </c>
    </row>
    <row r="7" ht="26" customHeight="1" spans="1:4" x14ac:dyDescent="0.25">
      <c r="A7" s="16" t="s">
        <v>42</v>
      </c>
      <c r="C7" s="17">
        <v>3000</v>
      </c>
      <c r="D7" s="15" t="s">
        <v>43</v>
      </c>
    </row>
    <row r="8" ht="26" customHeight="1" spans="1:3" x14ac:dyDescent="0.25">
      <c r="A8" s="16" t="s">
        <v>44</v>
      </c>
      <c r="C8" s="18">
        <f>C5-C6-C7</f>
        <v>27000</v>
      </c>
    </row>
    <row r="9" ht="26" customHeight="1" spans="1:4" x14ac:dyDescent="0.25">
      <c r="A9" s="16" t="s">
        <v>45</v>
      </c>
      <c r="C9" s="19">
        <v>0.059</v>
      </c>
      <c r="D9" s="15" t="s">
        <v>46</v>
      </c>
    </row>
    <row r="10" ht="26" customHeight="1" spans="1:4" x14ac:dyDescent="0.25">
      <c r="A10" s="16" t="s">
        <v>47</v>
      </c>
      <c r="C10" s="20">
        <v>60</v>
      </c>
      <c r="D10" s="15" t="s">
        <v>48</v>
      </c>
    </row>
    <row r="11" ht="14" customHeight="1" x14ac:dyDescent="0.25"/>
    <row r="12" ht="28" customHeight="1" spans="1:4" x14ac:dyDescent="0.25">
      <c r="A12" s="9" t="s">
        <v>49</v>
      </c>
      <c r="B12" s="10"/>
      <c r="C12" s="10"/>
      <c r="D12" s="10"/>
    </row>
    <row r="13" ht="26" customHeight="1" spans="1:3" x14ac:dyDescent="0.25">
      <c r="A13" s="16" t="s">
        <v>50</v>
      </c>
      <c r="C13" s="21">
        <f>IF(C9=0,C8/C10,ROUND(C8*(C9/12*(1+C9/12)^C10)/((1+C9/12)^C10-1),2))</f>
        <v>520.73</v>
      </c>
    </row>
    <row r="14" ht="26" customHeight="1" spans="1:3" x14ac:dyDescent="0.25">
      <c r="A14" s="16" t="s">
        <v>51</v>
      </c>
      <c r="C14" s="21">
        <f>IFERROR(SUM('Amortization Schedule'!E5:E64),0)</f>
        <v>4243.85</v>
      </c>
    </row>
    <row r="15" ht="26" customHeight="1" spans="1:3" x14ac:dyDescent="0.25">
      <c r="A15" s="16" t="s">
        <v>52</v>
      </c>
      <c r="C15" s="21">
        <f>C8+C14</f>
        <v>31243.85</v>
      </c>
    </row>
    <row r="16" ht="26" customHeight="1" spans="1:3" x14ac:dyDescent="0.25">
      <c r="A16" s="16" t="s">
        <v>53</v>
      </c>
      <c r="C16" s="21">
        <f>C5+C14-C7</f>
        <v>36243.85</v>
      </c>
    </row>
    <row r="17" ht="14" customHeight="1" x14ac:dyDescent="0.25"/>
    <row r="18" ht="6" customHeight="1" x14ac:dyDescent="0.25"/>
    <row r="19" ht="20" customHeight="1" spans="1:4" x14ac:dyDescent="0.25">
      <c r="A19" s="11" t="s">
        <v>17</v>
      </c>
      <c r="B19" s="11"/>
      <c r="C19" s="11"/>
      <c r="D19" s="11"/>
    </row>
    <row r="20" ht="20" customHeight="1" spans="1:4" x14ac:dyDescent="0.25">
      <c r="A20" s="12" t="s">
        <v>18</v>
      </c>
      <c r="B20" s="12"/>
      <c r="C20" s="12"/>
      <c r="D20" s="12"/>
    </row>
  </sheetData>
  <sheetProtection sheet="1"/>
  <mergeCells count="4">
    <mergeCell ref="A1:D1"/>
    <mergeCell ref="A2:D2"/>
    <mergeCell ref="A19:D19"/>
    <mergeCell ref="A20:D20"/>
  </mergeCells>
  <hyperlinks>
    <hyperlink ref="A2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6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5" width="14" customWidth="1"/>
    <col min="6" max="6" width="16" customWidth="1"/>
  </cols>
  <sheetData>
    <row r="1" ht="48" customHeight="1" spans="1:6" x14ac:dyDescent="0.25">
      <c r="A1" s="14" t="s">
        <v>54</v>
      </c>
      <c r="B1" s="14"/>
      <c r="C1" s="14"/>
      <c r="D1" s="14"/>
      <c r="E1" s="14"/>
      <c r="F1" s="14"/>
    </row>
    <row r="2" ht="24" customHeight="1" spans="1:6" x14ac:dyDescent="0.25">
      <c r="A2" s="15" t="s">
        <v>55</v>
      </c>
      <c r="B2" s="15"/>
      <c r="C2" s="15"/>
      <c r="D2" s="15"/>
      <c r="E2" s="15"/>
      <c r="F2" s="15"/>
    </row>
    <row r="3" ht="14" customHeight="1" x14ac:dyDescent="0.25"/>
    <row r="4" ht="32" customHeight="1" spans="1:6" x14ac:dyDescent="0.25">
      <c r="A4" s="22" t="s">
        <v>56</v>
      </c>
      <c r="B4" s="23" t="s">
        <v>57</v>
      </c>
      <c r="C4" s="23" t="s">
        <v>32</v>
      </c>
      <c r="D4" s="23" t="s">
        <v>33</v>
      </c>
      <c r="E4" s="23" t="s">
        <v>34</v>
      </c>
      <c r="F4" s="23" t="s">
        <v>58</v>
      </c>
    </row>
    <row r="5" ht="26" customHeight="1" spans="1:6" x14ac:dyDescent="0.25">
      <c r="A5" s="24">
        <f>IF('Auto Loan Setup'!C8&gt;0,1,"")</f>
        <v>1</v>
      </c>
      <c r="B5" s="25">
        <f>IF(A5="",0,IF('Auto Loan Setup'!C8&lt;=0,0,MIN('Auto Loan Setup'!C13,'Auto Loan Setup'!C8*(1+'Auto Loan Setup'!C9/12))))</f>
        <v>520.73</v>
      </c>
      <c r="C5" s="25">
        <f>IF(A5="",0,IF('Auto Loan Setup'!C8&lt;=0,0,MIN(B5-D5,'Auto Loan Setup'!C8)))</f>
        <v>387.98</v>
      </c>
      <c r="D5" s="25">
        <f>IF(A5="",0,IF('Auto Loan Setup'!C8&lt;=0,0,ROUND('Auto Loan Setup'!C8*('Auto Loan Setup'!C9/12),2)))</f>
        <v>132.75</v>
      </c>
      <c r="E5" s="25">
        <f>IF(A5="",0,MAX('Auto Loan Setup'!C8-C5,0))</f>
        <v>26612.02</v>
      </c>
      <c r="F5" s="25">
        <f>IF(A5="",0,D5)</f>
        <v>132.75</v>
      </c>
    </row>
    <row r="6" ht="26" customHeight="1" spans="1:6" x14ac:dyDescent="0.25">
      <c r="A6" s="26">
        <f>IF(AND(2&lt;='Auto Loan Setup'!C10,F5&gt;0),2,"")</f>
        <v>2</v>
      </c>
      <c r="B6" s="27">
        <f>IF(A6="",0,IF(E5&lt;=0,0,MIN('Auto Loan Setup'!C13,E5*(1+'Auto Loan Setup'!C9/12))))</f>
        <v>520.73</v>
      </c>
      <c r="C6" s="27">
        <f>IF(A6="",0,IF(E5&lt;=0,0,MIN(B6-D6,E5)))</f>
        <v>389.89</v>
      </c>
      <c r="D6" s="27">
        <f>IF(A6="",0,IF(E5&lt;=0,0,ROUND(E5*('Auto Loan Setup'!C9/12),2)))</f>
        <v>130.84</v>
      </c>
      <c r="E6" s="27">
        <f>IF(A6="",0,MAX(E5-C6,0))</f>
        <v>26222.13</v>
      </c>
      <c r="F6" s="27">
        <f>IF(A6="",0,F5+D6)</f>
        <v>263.59</v>
      </c>
    </row>
    <row r="7" ht="26" customHeight="1" spans="1:6" x14ac:dyDescent="0.25">
      <c r="A7" s="24">
        <f>IF(AND(3&lt;='Auto Loan Setup'!C10,F6&gt;0),3,"")</f>
        <v>3</v>
      </c>
      <c r="B7" s="25">
        <f>IF(A7="",0,IF(E6&lt;=0,0,MIN('Auto Loan Setup'!C13,E6*(1+'Auto Loan Setup'!C9/12))))</f>
        <v>520.73</v>
      </c>
      <c r="C7" s="25">
        <f>IF(A7="",0,IF(E6&lt;=0,0,MIN(B7-D7,E6)))</f>
        <v>391.8</v>
      </c>
      <c r="D7" s="25">
        <f>IF(A7="",0,IF(E6&lt;=0,0,ROUND(E6*('Auto Loan Setup'!C9/12),2)))</f>
        <v>128.93</v>
      </c>
      <c r="E7" s="25">
        <f>IF(A7="",0,MAX(E6-C7,0))</f>
        <v>25830.33</v>
      </c>
      <c r="F7" s="25">
        <f>IF(A7="",0,F6+D7)</f>
        <v>392.52</v>
      </c>
    </row>
    <row r="8" ht="26" customHeight="1" spans="1:6" x14ac:dyDescent="0.25">
      <c r="A8" s="26">
        <f>IF(AND(4&lt;='Auto Loan Setup'!C10,F7&gt;0),4,"")</f>
        <v>4</v>
      </c>
      <c r="B8" s="27">
        <f>IF(A8="",0,IF(E7&lt;=0,0,MIN('Auto Loan Setup'!C13,E7*(1+'Auto Loan Setup'!C9/12))))</f>
        <v>520.73</v>
      </c>
      <c r="C8" s="27">
        <f>IF(A8="",0,IF(E7&lt;=0,0,MIN(B8-D8,E7)))</f>
        <v>393.73</v>
      </c>
      <c r="D8" s="27">
        <f>IF(A8="",0,IF(E7&lt;=0,0,ROUND(E7*('Auto Loan Setup'!C9/12),2)))</f>
        <v>127</v>
      </c>
      <c r="E8" s="27">
        <f>IF(A8="",0,MAX(E7-C8,0))</f>
        <v>25436.6</v>
      </c>
      <c r="F8" s="27">
        <f>IF(A8="",0,F7+D8)</f>
        <v>519.52</v>
      </c>
    </row>
    <row r="9" ht="26" customHeight="1" spans="1:6" x14ac:dyDescent="0.25">
      <c r="A9" s="24">
        <f>IF(AND(5&lt;='Auto Loan Setup'!C10,F8&gt;0),5,"")</f>
        <v>5</v>
      </c>
      <c r="B9" s="25">
        <f>IF(A9="",0,IF(E8&lt;=0,0,MIN('Auto Loan Setup'!C13,E8*(1+'Auto Loan Setup'!C9/12))))</f>
        <v>520.73</v>
      </c>
      <c r="C9" s="25">
        <f>IF(A9="",0,IF(E8&lt;=0,0,MIN(B9-D9,E8)))</f>
        <v>395.67</v>
      </c>
      <c r="D9" s="25">
        <f>IF(A9="",0,IF(E8&lt;=0,0,ROUND(E8*('Auto Loan Setup'!C9/12),2)))</f>
        <v>125.06</v>
      </c>
      <c r="E9" s="25">
        <f>IF(A9="",0,MAX(E8-C9,0))</f>
        <v>25040.93</v>
      </c>
      <c r="F9" s="25">
        <f>IF(A9="",0,F8+D9)</f>
        <v>644.58</v>
      </c>
    </row>
    <row r="10" ht="26" customHeight="1" spans="1:6" x14ac:dyDescent="0.25">
      <c r="A10" s="26">
        <f>IF(AND(6&lt;='Auto Loan Setup'!C10,F9&gt;0),6,"")</f>
        <v>6</v>
      </c>
      <c r="B10" s="27">
        <f>IF(A10="",0,IF(E9&lt;=0,0,MIN('Auto Loan Setup'!C13,E9*(1+'Auto Loan Setup'!C9/12))))</f>
        <v>520.73</v>
      </c>
      <c r="C10" s="27">
        <f>IF(A10="",0,IF(E9&lt;=0,0,MIN(B10-D10,E9)))</f>
        <v>397.61</v>
      </c>
      <c r="D10" s="27">
        <f>IF(A10="",0,IF(E9&lt;=0,0,ROUND(E9*('Auto Loan Setup'!C9/12),2)))</f>
        <v>123.12</v>
      </c>
      <c r="E10" s="27">
        <f>IF(A10="",0,MAX(E9-C10,0))</f>
        <v>24643.32</v>
      </c>
      <c r="F10" s="27">
        <f>IF(A10="",0,F9+D10)</f>
        <v>767.7</v>
      </c>
    </row>
    <row r="11" ht="26" customHeight="1" spans="1:6" x14ac:dyDescent="0.25">
      <c r="A11" s="24">
        <f>IF(AND(7&lt;='Auto Loan Setup'!C10,F10&gt;0),7,"")</f>
        <v>7</v>
      </c>
      <c r="B11" s="25">
        <f>IF(A11="",0,IF(E10&lt;=0,0,MIN('Auto Loan Setup'!C13,E10*(1+'Auto Loan Setup'!C9/12))))</f>
        <v>520.73</v>
      </c>
      <c r="C11" s="25">
        <f>IF(A11="",0,IF(E10&lt;=0,0,MIN(B11-D11,E10)))</f>
        <v>399.57</v>
      </c>
      <c r="D11" s="25">
        <f>IF(A11="",0,IF(E10&lt;=0,0,ROUND(E10*('Auto Loan Setup'!C9/12),2)))</f>
        <v>121.16</v>
      </c>
      <c r="E11" s="25">
        <f>IF(A11="",0,MAX(E10-C11,0))</f>
        <v>24243.75</v>
      </c>
      <c r="F11" s="25">
        <f>IF(A11="",0,F10+D11)</f>
        <v>888.86</v>
      </c>
    </row>
    <row r="12" ht="26" customHeight="1" spans="1:6" x14ac:dyDescent="0.25">
      <c r="A12" s="26">
        <f>IF(AND(8&lt;='Auto Loan Setup'!C10,F11&gt;0),8,"")</f>
        <v>8</v>
      </c>
      <c r="B12" s="27">
        <f>IF(A12="",0,IF(E11&lt;=0,0,MIN('Auto Loan Setup'!C13,E11*(1+'Auto Loan Setup'!C9/12))))</f>
        <v>520.73</v>
      </c>
      <c r="C12" s="27">
        <f>IF(A12="",0,IF(E11&lt;=0,0,MIN(B12-D12,E11)))</f>
        <v>401.53</v>
      </c>
      <c r="D12" s="27">
        <f>IF(A12="",0,IF(E11&lt;=0,0,ROUND(E11*('Auto Loan Setup'!C9/12),2)))</f>
        <v>119.2</v>
      </c>
      <c r="E12" s="27">
        <f>IF(A12="",0,MAX(E11-C12,0))</f>
        <v>23842.22</v>
      </c>
      <c r="F12" s="27">
        <f>IF(A12="",0,F11+D12)</f>
        <v>1008.06</v>
      </c>
    </row>
    <row r="13" ht="26" customHeight="1" spans="1:6" x14ac:dyDescent="0.25">
      <c r="A13" s="24">
        <f>IF(AND(9&lt;='Auto Loan Setup'!C10,F12&gt;0),9,"")</f>
        <v>9</v>
      </c>
      <c r="B13" s="25">
        <f>IF(A13="",0,IF(E12&lt;=0,0,MIN('Auto Loan Setup'!C13,E12*(1+'Auto Loan Setup'!C9/12))))</f>
        <v>520.73</v>
      </c>
      <c r="C13" s="25">
        <f>IF(A13="",0,IF(E12&lt;=0,0,MIN(B13-D13,E12)))</f>
        <v>403.51</v>
      </c>
      <c r="D13" s="25">
        <f>IF(A13="",0,IF(E12&lt;=0,0,ROUND(E12*('Auto Loan Setup'!C9/12),2)))</f>
        <v>117.22</v>
      </c>
      <c r="E13" s="25">
        <f>IF(A13="",0,MAX(E12-C13,0))</f>
        <v>23438.71</v>
      </c>
      <c r="F13" s="25">
        <f>IF(A13="",0,F12+D13)</f>
        <v>1125.28</v>
      </c>
    </row>
    <row r="14" ht="26" customHeight="1" spans="1:6" x14ac:dyDescent="0.25">
      <c r="A14" s="26">
        <f>IF(AND(10&lt;='Auto Loan Setup'!C10,F13&gt;0),10,"")</f>
        <v>10</v>
      </c>
      <c r="B14" s="27">
        <f>IF(A14="",0,IF(E13&lt;=0,0,MIN('Auto Loan Setup'!C13,E13*(1+'Auto Loan Setup'!C9/12))))</f>
        <v>520.73</v>
      </c>
      <c r="C14" s="27">
        <f>IF(A14="",0,IF(E13&lt;=0,0,MIN(B14-D14,E13)))</f>
        <v>405.49</v>
      </c>
      <c r="D14" s="27">
        <f>IF(A14="",0,IF(E13&lt;=0,0,ROUND(E13*('Auto Loan Setup'!C9/12),2)))</f>
        <v>115.24</v>
      </c>
      <c r="E14" s="27">
        <f>IF(A14="",0,MAX(E13-C14,0))</f>
        <v>23033.22</v>
      </c>
      <c r="F14" s="27">
        <f>IF(A14="",0,F13+D14)</f>
        <v>1240.52</v>
      </c>
    </row>
    <row r="15" ht="26" customHeight="1" spans="1:6" x14ac:dyDescent="0.25">
      <c r="A15" s="24">
        <f>IF(AND(11&lt;='Auto Loan Setup'!C10,F14&gt;0),11,"")</f>
        <v>11</v>
      </c>
      <c r="B15" s="25">
        <f>IF(A15="",0,IF(E14&lt;=0,0,MIN('Auto Loan Setup'!C13,E14*(1+'Auto Loan Setup'!C9/12))))</f>
        <v>520.73</v>
      </c>
      <c r="C15" s="25">
        <f>IF(A15="",0,IF(E14&lt;=0,0,MIN(B15-D15,E14)))</f>
        <v>407.48</v>
      </c>
      <c r="D15" s="25">
        <f>IF(A15="",0,IF(E14&lt;=0,0,ROUND(E14*('Auto Loan Setup'!C9/12),2)))</f>
        <v>113.25</v>
      </c>
      <c r="E15" s="25">
        <f>IF(A15="",0,MAX(E14-C15,0))</f>
        <v>22625.74</v>
      </c>
      <c r="F15" s="25">
        <f>IF(A15="",0,F14+D15)</f>
        <v>1353.77</v>
      </c>
    </row>
    <row r="16" ht="26" customHeight="1" spans="1:6" x14ac:dyDescent="0.25">
      <c r="A16" s="26">
        <f>IF(AND(12&lt;='Auto Loan Setup'!C10,F15&gt;0),12,"")</f>
        <v>12</v>
      </c>
      <c r="B16" s="27">
        <f>IF(A16="",0,IF(E15&lt;=0,0,MIN('Auto Loan Setup'!C13,E15*(1+'Auto Loan Setup'!C9/12))))</f>
        <v>520.73</v>
      </c>
      <c r="C16" s="27">
        <f>IF(A16="",0,IF(E15&lt;=0,0,MIN(B16-D16,E15)))</f>
        <v>409.49</v>
      </c>
      <c r="D16" s="27">
        <f>IF(A16="",0,IF(E15&lt;=0,0,ROUND(E15*('Auto Loan Setup'!C9/12),2)))</f>
        <v>111.24</v>
      </c>
      <c r="E16" s="27">
        <f>IF(A16="",0,MAX(E15-C16,0))</f>
        <v>22216.25</v>
      </c>
      <c r="F16" s="27">
        <f>IF(A16="",0,F15+D16)</f>
        <v>1465.01</v>
      </c>
    </row>
    <row r="17" ht="26" customHeight="1" spans="1:6" x14ac:dyDescent="0.25">
      <c r="A17" s="24">
        <f>IF(AND(13&lt;='Auto Loan Setup'!C10,F16&gt;0),13,"")</f>
        <v>13</v>
      </c>
      <c r="B17" s="25">
        <f>IF(A17="",0,IF(E16&lt;=0,0,MIN('Auto Loan Setup'!C13,E16*(1+'Auto Loan Setup'!C9/12))))</f>
        <v>520.73</v>
      </c>
      <c r="C17" s="25">
        <f>IF(A17="",0,IF(E16&lt;=0,0,MIN(B17-D17,E16)))</f>
        <v>411.5</v>
      </c>
      <c r="D17" s="25">
        <f>IF(A17="",0,IF(E16&lt;=0,0,ROUND(E16*('Auto Loan Setup'!C9/12),2)))</f>
        <v>109.23</v>
      </c>
      <c r="E17" s="25">
        <f>IF(A17="",0,MAX(E16-C17,0))</f>
        <v>21804.75</v>
      </c>
      <c r="F17" s="25">
        <f>IF(A17="",0,F16+D17)</f>
        <v>1574.24</v>
      </c>
    </row>
    <row r="18" ht="26" customHeight="1" spans="1:6" x14ac:dyDescent="0.25">
      <c r="A18" s="26">
        <f>IF(AND(14&lt;='Auto Loan Setup'!C10,F17&gt;0),14,"")</f>
        <v>14</v>
      </c>
      <c r="B18" s="27">
        <f>IF(A18="",0,IF(E17&lt;=0,0,MIN('Auto Loan Setup'!C13,E17*(1+'Auto Loan Setup'!C9/12))))</f>
        <v>520.73</v>
      </c>
      <c r="C18" s="27">
        <f>IF(A18="",0,IF(E17&lt;=0,0,MIN(B18-D18,E17)))</f>
        <v>413.52</v>
      </c>
      <c r="D18" s="27">
        <f>IF(A18="",0,IF(E17&lt;=0,0,ROUND(E17*('Auto Loan Setup'!C9/12),2)))</f>
        <v>107.21</v>
      </c>
      <c r="E18" s="27">
        <f>IF(A18="",0,MAX(E17-C18,0))</f>
        <v>21391.23</v>
      </c>
      <c r="F18" s="27">
        <f>IF(A18="",0,F17+D18)</f>
        <v>1681.45</v>
      </c>
    </row>
    <row r="19" ht="26" customHeight="1" spans="1:6" x14ac:dyDescent="0.25">
      <c r="A19" s="24">
        <f>IF(AND(15&lt;='Auto Loan Setup'!C10,F18&gt;0),15,"")</f>
        <v>15</v>
      </c>
      <c r="B19" s="25">
        <f>IF(A19="",0,IF(E18&lt;=0,0,MIN('Auto Loan Setup'!C13,E18*(1+'Auto Loan Setup'!C9/12))))</f>
        <v>520.73</v>
      </c>
      <c r="C19" s="25">
        <f>IF(A19="",0,IF(E18&lt;=0,0,MIN(B19-D19,E18)))</f>
        <v>415.56</v>
      </c>
      <c r="D19" s="25">
        <f>IF(A19="",0,IF(E18&lt;=0,0,ROUND(E18*('Auto Loan Setup'!C9/12),2)))</f>
        <v>105.17</v>
      </c>
      <c r="E19" s="25">
        <f>IF(A19="",0,MAX(E18-C19,0))</f>
        <v>20975.67</v>
      </c>
      <c r="F19" s="25">
        <f>IF(A19="",0,F18+D19)</f>
        <v>1786.62</v>
      </c>
    </row>
    <row r="20" ht="26" customHeight="1" spans="1:6" x14ac:dyDescent="0.25">
      <c r="A20" s="26">
        <f>IF(AND(16&lt;='Auto Loan Setup'!C10,F19&gt;0),16,"")</f>
        <v>16</v>
      </c>
      <c r="B20" s="27">
        <f>IF(A20="",0,IF(E19&lt;=0,0,MIN('Auto Loan Setup'!C13,E19*(1+'Auto Loan Setup'!C9/12))))</f>
        <v>520.73</v>
      </c>
      <c r="C20" s="27">
        <f>IF(A20="",0,IF(E19&lt;=0,0,MIN(B20-D20,E19)))</f>
        <v>417.6</v>
      </c>
      <c r="D20" s="27">
        <f>IF(A20="",0,IF(E19&lt;=0,0,ROUND(E19*('Auto Loan Setup'!C9/12),2)))</f>
        <v>103.13</v>
      </c>
      <c r="E20" s="27">
        <f>IF(A20="",0,MAX(E19-C20,0))</f>
        <v>20558.07</v>
      </c>
      <c r="F20" s="27">
        <f>IF(A20="",0,F19+D20)</f>
        <v>1889.75</v>
      </c>
    </row>
    <row r="21" ht="26" customHeight="1" spans="1:6" x14ac:dyDescent="0.25">
      <c r="A21" s="24">
        <f>IF(AND(17&lt;='Auto Loan Setup'!C10,F20&gt;0),17,"")</f>
        <v>17</v>
      </c>
      <c r="B21" s="25">
        <f>IF(A21="",0,IF(E20&lt;=0,0,MIN('Auto Loan Setup'!C13,E20*(1+'Auto Loan Setup'!C9/12))))</f>
        <v>520.73</v>
      </c>
      <c r="C21" s="25">
        <f>IF(A21="",0,IF(E20&lt;=0,0,MIN(B21-D21,E20)))</f>
        <v>419.65</v>
      </c>
      <c r="D21" s="25">
        <f>IF(A21="",0,IF(E20&lt;=0,0,ROUND(E20*('Auto Loan Setup'!C9/12),2)))</f>
        <v>101.08</v>
      </c>
      <c r="E21" s="25">
        <f>IF(A21="",0,MAX(E20-C21,0))</f>
        <v>20138.42</v>
      </c>
      <c r="F21" s="25">
        <f>IF(A21="",0,F20+D21)</f>
        <v>1990.83</v>
      </c>
    </row>
    <row r="22" ht="26" customHeight="1" spans="1:6" x14ac:dyDescent="0.25">
      <c r="A22" s="26">
        <f>IF(AND(18&lt;='Auto Loan Setup'!C10,F21&gt;0),18,"")</f>
        <v>18</v>
      </c>
      <c r="B22" s="27">
        <f>IF(A22="",0,IF(E21&lt;=0,0,MIN('Auto Loan Setup'!C13,E21*(1+'Auto Loan Setup'!C9/12))))</f>
        <v>520.73</v>
      </c>
      <c r="C22" s="27">
        <f>IF(A22="",0,IF(E21&lt;=0,0,MIN(B22-D22,E21)))</f>
        <v>421.72</v>
      </c>
      <c r="D22" s="27">
        <f>IF(A22="",0,IF(E21&lt;=0,0,ROUND(E21*('Auto Loan Setup'!C9/12),2)))</f>
        <v>99.01</v>
      </c>
      <c r="E22" s="27">
        <f>IF(A22="",0,MAX(E21-C22,0))</f>
        <v>19716.7</v>
      </c>
      <c r="F22" s="27">
        <f>IF(A22="",0,F21+D22)</f>
        <v>2089.84</v>
      </c>
    </row>
    <row r="23" ht="26" customHeight="1" spans="1:6" x14ac:dyDescent="0.25">
      <c r="A23" s="24">
        <f>IF(AND(19&lt;='Auto Loan Setup'!C10,F22&gt;0),19,"")</f>
        <v>19</v>
      </c>
      <c r="B23" s="25">
        <f>IF(A23="",0,IF(E22&lt;=0,0,MIN('Auto Loan Setup'!C13,E22*(1+'Auto Loan Setup'!C9/12))))</f>
        <v>520.73</v>
      </c>
      <c r="C23" s="25">
        <f>IF(A23="",0,IF(E22&lt;=0,0,MIN(B23-D23,E22)))</f>
        <v>423.79</v>
      </c>
      <c r="D23" s="25">
        <f>IF(A23="",0,IF(E22&lt;=0,0,ROUND(E22*('Auto Loan Setup'!C9/12),2)))</f>
        <v>96.94</v>
      </c>
      <c r="E23" s="25">
        <f>IF(A23="",0,MAX(E22-C23,0))</f>
        <v>19292.91</v>
      </c>
      <c r="F23" s="25">
        <f>IF(A23="",0,F22+D23)</f>
        <v>2186.78</v>
      </c>
    </row>
    <row r="24" ht="26" customHeight="1" spans="1:6" x14ac:dyDescent="0.25">
      <c r="A24" s="26">
        <f>IF(AND(20&lt;='Auto Loan Setup'!C10,F23&gt;0),20,"")</f>
        <v>20</v>
      </c>
      <c r="B24" s="27">
        <f>IF(A24="",0,IF(E23&lt;=0,0,MIN('Auto Loan Setup'!C13,E23*(1+'Auto Loan Setup'!C9/12))))</f>
        <v>520.73</v>
      </c>
      <c r="C24" s="27">
        <f>IF(A24="",0,IF(E23&lt;=0,0,MIN(B24-D24,E23)))</f>
        <v>425.87</v>
      </c>
      <c r="D24" s="27">
        <f>IF(A24="",0,IF(E23&lt;=0,0,ROUND(E23*('Auto Loan Setup'!C9/12),2)))</f>
        <v>94.86</v>
      </c>
      <c r="E24" s="27">
        <f>IF(A24="",0,MAX(E23-C24,0))</f>
        <v>18867.04</v>
      </c>
      <c r="F24" s="27">
        <f>IF(A24="",0,F23+D24)</f>
        <v>2281.64</v>
      </c>
    </row>
    <row r="25" ht="26" customHeight="1" spans="1:6" x14ac:dyDescent="0.25">
      <c r="A25" s="24">
        <f>IF(AND(21&lt;='Auto Loan Setup'!C10,F24&gt;0),21,"")</f>
        <v>21</v>
      </c>
      <c r="B25" s="25">
        <f>IF(A25="",0,IF(E24&lt;=0,0,MIN('Auto Loan Setup'!C13,E24*(1+'Auto Loan Setup'!C9/12))))</f>
        <v>520.73</v>
      </c>
      <c r="C25" s="25">
        <f>IF(A25="",0,IF(E24&lt;=0,0,MIN(B25-D25,E24)))</f>
        <v>427.97</v>
      </c>
      <c r="D25" s="25">
        <f>IF(A25="",0,IF(E24&lt;=0,0,ROUND(E24*('Auto Loan Setup'!C9/12),2)))</f>
        <v>92.76</v>
      </c>
      <c r="E25" s="25">
        <f>IF(A25="",0,MAX(E24-C25,0))</f>
        <v>18439.07</v>
      </c>
      <c r="F25" s="25">
        <f>IF(A25="",0,F24+D25)</f>
        <v>2374.4</v>
      </c>
    </row>
    <row r="26" ht="26" customHeight="1" spans="1:6" x14ac:dyDescent="0.25">
      <c r="A26" s="26">
        <f>IF(AND(22&lt;='Auto Loan Setup'!C10,F25&gt;0),22,"")</f>
        <v>22</v>
      </c>
      <c r="B26" s="27">
        <f>IF(A26="",0,IF(E25&lt;=0,0,MIN('Auto Loan Setup'!C13,E25*(1+'Auto Loan Setup'!C9/12))))</f>
        <v>520.73</v>
      </c>
      <c r="C26" s="27">
        <f>IF(A26="",0,IF(E25&lt;=0,0,MIN(B26-D26,E25)))</f>
        <v>430.07</v>
      </c>
      <c r="D26" s="27">
        <f>IF(A26="",0,IF(E25&lt;=0,0,ROUND(E25*('Auto Loan Setup'!C9/12),2)))</f>
        <v>90.66</v>
      </c>
      <c r="E26" s="27">
        <f>IF(A26="",0,MAX(E25-C26,0))</f>
        <v>18009</v>
      </c>
      <c r="F26" s="27">
        <f>IF(A26="",0,F25+D26)</f>
        <v>2465.06</v>
      </c>
    </row>
    <row r="27" ht="26" customHeight="1" spans="1:6" x14ac:dyDescent="0.25">
      <c r="A27" s="24">
        <f>IF(AND(23&lt;='Auto Loan Setup'!C10,F26&gt;0),23,"")</f>
        <v>23</v>
      </c>
      <c r="B27" s="25">
        <f>IF(A27="",0,IF(E26&lt;=0,0,MIN('Auto Loan Setup'!C13,E26*(1+'Auto Loan Setup'!C9/12))))</f>
        <v>520.73</v>
      </c>
      <c r="C27" s="25">
        <f>IF(A27="",0,IF(E26&lt;=0,0,MIN(B27-D27,E26)))</f>
        <v>432.19</v>
      </c>
      <c r="D27" s="25">
        <f>IF(A27="",0,IF(E26&lt;=0,0,ROUND(E26*('Auto Loan Setup'!C9/12),2)))</f>
        <v>88.54</v>
      </c>
      <c r="E27" s="25">
        <f>IF(A27="",0,MAX(E26-C27,0))</f>
        <v>17576.81</v>
      </c>
      <c r="F27" s="25">
        <f>IF(A27="",0,F26+D27)</f>
        <v>2553.6</v>
      </c>
    </row>
    <row r="28" ht="26" customHeight="1" spans="1:6" x14ac:dyDescent="0.25">
      <c r="A28" s="26">
        <f>IF(AND(24&lt;='Auto Loan Setup'!C10,F27&gt;0),24,"")</f>
        <v>24</v>
      </c>
      <c r="B28" s="27">
        <f>IF(A28="",0,IF(E27&lt;=0,0,MIN('Auto Loan Setup'!C13,E27*(1+'Auto Loan Setup'!C9/12))))</f>
        <v>520.73</v>
      </c>
      <c r="C28" s="27">
        <f>IF(A28="",0,IF(E27&lt;=0,0,MIN(B28-D28,E27)))</f>
        <v>434.31</v>
      </c>
      <c r="D28" s="27">
        <f>IF(A28="",0,IF(E27&lt;=0,0,ROUND(E27*('Auto Loan Setup'!C9/12),2)))</f>
        <v>86.42</v>
      </c>
      <c r="E28" s="27">
        <f>IF(A28="",0,MAX(E27-C28,0))</f>
        <v>17142.5</v>
      </c>
      <c r="F28" s="27">
        <f>IF(A28="",0,F27+D28)</f>
        <v>2640.02</v>
      </c>
    </row>
    <row r="29" ht="26" customHeight="1" spans="1:6" x14ac:dyDescent="0.25">
      <c r="A29" s="24">
        <f>IF(AND(25&lt;='Auto Loan Setup'!C10,F28&gt;0),25,"")</f>
        <v>25</v>
      </c>
      <c r="B29" s="25">
        <f>IF(A29="",0,IF(E28&lt;=0,0,MIN('Auto Loan Setup'!C13,E28*(1+'Auto Loan Setup'!C9/12))))</f>
        <v>520.73</v>
      </c>
      <c r="C29" s="25">
        <f>IF(A29="",0,IF(E28&lt;=0,0,MIN(B29-D29,E28)))</f>
        <v>436.45</v>
      </c>
      <c r="D29" s="25">
        <f>IF(A29="",0,IF(E28&lt;=0,0,ROUND(E28*('Auto Loan Setup'!C9/12),2)))</f>
        <v>84.28</v>
      </c>
      <c r="E29" s="25">
        <f>IF(A29="",0,MAX(E28-C29,0))</f>
        <v>16706.05</v>
      </c>
      <c r="F29" s="25">
        <f>IF(A29="",0,F28+D29)</f>
        <v>2724.3</v>
      </c>
    </row>
    <row r="30" ht="26" customHeight="1" spans="1:6" x14ac:dyDescent="0.25">
      <c r="A30" s="26">
        <f>IF(AND(26&lt;='Auto Loan Setup'!C10,F29&gt;0),26,"")</f>
        <v>26</v>
      </c>
      <c r="B30" s="27">
        <f>IF(A30="",0,IF(E29&lt;=0,0,MIN('Auto Loan Setup'!C13,E29*(1+'Auto Loan Setup'!C9/12))))</f>
        <v>520.73</v>
      </c>
      <c r="C30" s="27">
        <f>IF(A30="",0,IF(E29&lt;=0,0,MIN(B30-D30,E29)))</f>
        <v>438.59</v>
      </c>
      <c r="D30" s="27">
        <f>IF(A30="",0,IF(E29&lt;=0,0,ROUND(E29*('Auto Loan Setup'!C9/12),2)))</f>
        <v>82.14</v>
      </c>
      <c r="E30" s="27">
        <f>IF(A30="",0,MAX(E29-C30,0))</f>
        <v>16267.46</v>
      </c>
      <c r="F30" s="27">
        <f>IF(A30="",0,F29+D30)</f>
        <v>2806.44</v>
      </c>
    </row>
    <row r="31" ht="26" customHeight="1" spans="1:6" x14ac:dyDescent="0.25">
      <c r="A31" s="24">
        <f>IF(AND(27&lt;='Auto Loan Setup'!C10,F30&gt;0),27,"")</f>
        <v>27</v>
      </c>
      <c r="B31" s="25">
        <f>IF(A31="",0,IF(E30&lt;=0,0,MIN('Auto Loan Setup'!C13,E30*(1+'Auto Loan Setup'!C9/12))))</f>
        <v>520.73</v>
      </c>
      <c r="C31" s="25">
        <f>IF(A31="",0,IF(E30&lt;=0,0,MIN(B31-D31,E30)))</f>
        <v>440.75</v>
      </c>
      <c r="D31" s="25">
        <f>IF(A31="",0,IF(E30&lt;=0,0,ROUND(E30*('Auto Loan Setup'!C9/12),2)))</f>
        <v>79.98</v>
      </c>
      <c r="E31" s="25">
        <f>IF(A31="",0,MAX(E30-C31,0))</f>
        <v>15826.71</v>
      </c>
      <c r="F31" s="25">
        <f>IF(A31="",0,F30+D31)</f>
        <v>2886.42</v>
      </c>
    </row>
    <row r="32" ht="26" customHeight="1" spans="1:6" x14ac:dyDescent="0.25">
      <c r="A32" s="26">
        <f>IF(AND(28&lt;='Auto Loan Setup'!C10,F31&gt;0),28,"")</f>
        <v>28</v>
      </c>
      <c r="B32" s="27">
        <f>IF(A32="",0,IF(E31&lt;=0,0,MIN('Auto Loan Setup'!C13,E31*(1+'Auto Loan Setup'!C9/12))))</f>
        <v>520.73</v>
      </c>
      <c r="C32" s="27">
        <f>IF(A32="",0,IF(E31&lt;=0,0,MIN(B32-D32,E31)))</f>
        <v>442.92</v>
      </c>
      <c r="D32" s="27">
        <f>IF(A32="",0,IF(E31&lt;=0,0,ROUND(E31*('Auto Loan Setup'!C9/12),2)))</f>
        <v>77.81</v>
      </c>
      <c r="E32" s="27">
        <f>IF(A32="",0,MAX(E31-C32,0))</f>
        <v>15383.79</v>
      </c>
      <c r="F32" s="27">
        <f>IF(A32="",0,F31+D32)</f>
        <v>2964.23</v>
      </c>
    </row>
    <row r="33" ht="26" customHeight="1" spans="1:6" x14ac:dyDescent="0.25">
      <c r="A33" s="24">
        <f>IF(AND(29&lt;='Auto Loan Setup'!C10,F32&gt;0),29,"")</f>
        <v>29</v>
      </c>
      <c r="B33" s="25">
        <f>IF(A33="",0,IF(E32&lt;=0,0,MIN('Auto Loan Setup'!C13,E32*(1+'Auto Loan Setup'!C9/12))))</f>
        <v>520.73</v>
      </c>
      <c r="C33" s="25">
        <f>IF(A33="",0,IF(E32&lt;=0,0,MIN(B33-D33,E32)))</f>
        <v>445.09</v>
      </c>
      <c r="D33" s="25">
        <f>IF(A33="",0,IF(E32&lt;=0,0,ROUND(E32*('Auto Loan Setup'!C9/12),2)))</f>
        <v>75.64</v>
      </c>
      <c r="E33" s="25">
        <f>IF(A33="",0,MAX(E32-C33,0))</f>
        <v>14938.7</v>
      </c>
      <c r="F33" s="25">
        <f>IF(A33="",0,F32+D33)</f>
        <v>3039.87</v>
      </c>
    </row>
    <row r="34" ht="26" customHeight="1" spans="1:6" x14ac:dyDescent="0.25">
      <c r="A34" s="26">
        <f>IF(AND(30&lt;='Auto Loan Setup'!C10,F33&gt;0),30,"")</f>
        <v>30</v>
      </c>
      <c r="B34" s="27">
        <f>IF(A34="",0,IF(E33&lt;=0,0,MIN('Auto Loan Setup'!C13,E33*(1+'Auto Loan Setup'!C9/12))))</f>
        <v>520.73</v>
      </c>
      <c r="C34" s="27">
        <f>IF(A34="",0,IF(E33&lt;=0,0,MIN(B34-D34,E33)))</f>
        <v>447.28</v>
      </c>
      <c r="D34" s="27">
        <f>IF(A34="",0,IF(E33&lt;=0,0,ROUND(E33*('Auto Loan Setup'!C9/12),2)))</f>
        <v>73.45</v>
      </c>
      <c r="E34" s="27">
        <f>IF(A34="",0,MAX(E33-C34,0))</f>
        <v>14491.42</v>
      </c>
      <c r="F34" s="27">
        <f>IF(A34="",0,F33+D34)</f>
        <v>3113.32</v>
      </c>
    </row>
    <row r="35" ht="26" customHeight="1" spans="1:6" x14ac:dyDescent="0.25">
      <c r="A35" s="24">
        <f>IF(AND(31&lt;='Auto Loan Setup'!C10,F34&gt;0),31,"")</f>
        <v>31</v>
      </c>
      <c r="B35" s="25">
        <f>IF(A35="",0,IF(E34&lt;=0,0,MIN('Auto Loan Setup'!C13,E34*(1+'Auto Loan Setup'!C9/12))))</f>
        <v>520.73</v>
      </c>
      <c r="C35" s="25">
        <f>IF(A35="",0,IF(E34&lt;=0,0,MIN(B35-D35,E34)))</f>
        <v>449.48</v>
      </c>
      <c r="D35" s="25">
        <f>IF(A35="",0,IF(E34&lt;=0,0,ROUND(E34*('Auto Loan Setup'!C9/12),2)))</f>
        <v>71.25</v>
      </c>
      <c r="E35" s="25">
        <f>IF(A35="",0,MAX(E34-C35,0))</f>
        <v>14041.94</v>
      </c>
      <c r="F35" s="25">
        <f>IF(A35="",0,F34+D35)</f>
        <v>3184.57</v>
      </c>
    </row>
    <row r="36" ht="26" customHeight="1" spans="1:6" x14ac:dyDescent="0.25">
      <c r="A36" s="26">
        <f>IF(AND(32&lt;='Auto Loan Setup'!C10,F35&gt;0),32,"")</f>
        <v>32</v>
      </c>
      <c r="B36" s="27">
        <f>IF(A36="",0,IF(E35&lt;=0,0,MIN('Auto Loan Setup'!C13,E35*(1+'Auto Loan Setup'!C9/12))))</f>
        <v>520.73</v>
      </c>
      <c r="C36" s="27">
        <f>IF(A36="",0,IF(E35&lt;=0,0,MIN(B36-D36,E35)))</f>
        <v>451.69</v>
      </c>
      <c r="D36" s="27">
        <f>IF(A36="",0,IF(E35&lt;=0,0,ROUND(E35*('Auto Loan Setup'!C9/12),2)))</f>
        <v>69.04</v>
      </c>
      <c r="E36" s="27">
        <f>IF(A36="",0,MAX(E35-C36,0))</f>
        <v>13590.25</v>
      </c>
      <c r="F36" s="27">
        <f>IF(A36="",0,F35+D36)</f>
        <v>3253.61</v>
      </c>
    </row>
    <row r="37" ht="26" customHeight="1" spans="1:6" x14ac:dyDescent="0.25">
      <c r="A37" s="24">
        <f>IF(AND(33&lt;='Auto Loan Setup'!C10,F36&gt;0),33,"")</f>
        <v>33</v>
      </c>
      <c r="B37" s="25">
        <f>IF(A37="",0,IF(E36&lt;=0,0,MIN('Auto Loan Setup'!C13,E36*(1+'Auto Loan Setup'!C9/12))))</f>
        <v>520.73</v>
      </c>
      <c r="C37" s="25">
        <f>IF(A37="",0,IF(E36&lt;=0,0,MIN(B37-D37,E36)))</f>
        <v>453.91</v>
      </c>
      <c r="D37" s="25">
        <f>IF(A37="",0,IF(E36&lt;=0,0,ROUND(E36*('Auto Loan Setup'!C9/12),2)))</f>
        <v>66.82</v>
      </c>
      <c r="E37" s="25">
        <f>IF(A37="",0,MAX(E36-C37,0))</f>
        <v>13136.34</v>
      </c>
      <c r="F37" s="25">
        <f>IF(A37="",0,F36+D37)</f>
        <v>3320.43</v>
      </c>
    </row>
    <row r="38" ht="26" customHeight="1" spans="1:6" x14ac:dyDescent="0.25">
      <c r="A38" s="26">
        <f>IF(AND(34&lt;='Auto Loan Setup'!C10,F37&gt;0),34,"")</f>
        <v>34</v>
      </c>
      <c r="B38" s="27">
        <f>IF(A38="",0,IF(E37&lt;=0,0,MIN('Auto Loan Setup'!C13,E37*(1+'Auto Loan Setup'!C9/12))))</f>
        <v>520.73</v>
      </c>
      <c r="C38" s="27">
        <f>IF(A38="",0,IF(E37&lt;=0,0,MIN(B38-D38,E37)))</f>
        <v>456.14</v>
      </c>
      <c r="D38" s="27">
        <f>IF(A38="",0,IF(E37&lt;=0,0,ROUND(E37*('Auto Loan Setup'!C9/12),2)))</f>
        <v>64.59</v>
      </c>
      <c r="E38" s="27">
        <f>IF(A38="",0,MAX(E37-C38,0))</f>
        <v>12680.2</v>
      </c>
      <c r="F38" s="27">
        <f>IF(A38="",0,F37+D38)</f>
        <v>3385.02</v>
      </c>
    </row>
    <row r="39" ht="26" customHeight="1" spans="1:6" x14ac:dyDescent="0.25">
      <c r="A39" s="24">
        <f>IF(AND(35&lt;='Auto Loan Setup'!C10,F38&gt;0),35,"")</f>
        <v>35</v>
      </c>
      <c r="B39" s="25">
        <f>IF(A39="",0,IF(E38&lt;=0,0,MIN('Auto Loan Setup'!C13,E38*(1+'Auto Loan Setup'!C9/12))))</f>
        <v>520.73</v>
      </c>
      <c r="C39" s="25">
        <f>IF(A39="",0,IF(E38&lt;=0,0,MIN(B39-D39,E38)))</f>
        <v>458.39</v>
      </c>
      <c r="D39" s="25">
        <f>IF(A39="",0,IF(E38&lt;=0,0,ROUND(E38*('Auto Loan Setup'!C9/12),2)))</f>
        <v>62.34</v>
      </c>
      <c r="E39" s="25">
        <f>IF(A39="",0,MAX(E38-C39,0))</f>
        <v>12221.81</v>
      </c>
      <c r="F39" s="25">
        <f>IF(A39="",0,F38+D39)</f>
        <v>3447.36</v>
      </c>
    </row>
    <row r="40" ht="26" customHeight="1" spans="1:6" x14ac:dyDescent="0.25">
      <c r="A40" s="26">
        <f>IF(AND(36&lt;='Auto Loan Setup'!C10,F39&gt;0),36,"")</f>
        <v>36</v>
      </c>
      <c r="B40" s="27">
        <f>IF(A40="",0,IF(E39&lt;=0,0,MIN('Auto Loan Setup'!C13,E39*(1+'Auto Loan Setup'!C9/12))))</f>
        <v>520.73</v>
      </c>
      <c r="C40" s="27">
        <f>IF(A40="",0,IF(E39&lt;=0,0,MIN(B40-D40,E39)))</f>
        <v>460.64</v>
      </c>
      <c r="D40" s="27">
        <f>IF(A40="",0,IF(E39&lt;=0,0,ROUND(E39*('Auto Loan Setup'!C9/12),2)))</f>
        <v>60.09</v>
      </c>
      <c r="E40" s="27">
        <f>IF(A40="",0,MAX(E39-C40,0))</f>
        <v>11761.17</v>
      </c>
      <c r="F40" s="27">
        <f>IF(A40="",0,F39+D40)</f>
        <v>3507.45</v>
      </c>
    </row>
    <row r="41" ht="26" customHeight="1" spans="1:6" x14ac:dyDescent="0.25">
      <c r="A41" s="24">
        <f>IF(AND(37&lt;='Auto Loan Setup'!C10,F40&gt;0),37,"")</f>
        <v>37</v>
      </c>
      <c r="B41" s="25">
        <f>IF(A41="",0,IF(E40&lt;=0,0,MIN('Auto Loan Setup'!C13,E40*(1+'Auto Loan Setup'!C9/12))))</f>
        <v>520.73</v>
      </c>
      <c r="C41" s="25">
        <f>IF(A41="",0,IF(E40&lt;=0,0,MIN(B41-D41,E40)))</f>
        <v>462.9</v>
      </c>
      <c r="D41" s="25">
        <f>IF(A41="",0,IF(E40&lt;=0,0,ROUND(E40*('Auto Loan Setup'!C9/12),2)))</f>
        <v>57.83</v>
      </c>
      <c r="E41" s="25">
        <f>IF(A41="",0,MAX(E40-C41,0))</f>
        <v>11298.27</v>
      </c>
      <c r="F41" s="25">
        <f>IF(A41="",0,F40+D41)</f>
        <v>3565.28</v>
      </c>
    </row>
    <row r="42" ht="26" customHeight="1" spans="1:6" x14ac:dyDescent="0.25">
      <c r="A42" s="26">
        <f>IF(AND(38&lt;='Auto Loan Setup'!C10,F41&gt;0),38,"")</f>
        <v>38</v>
      </c>
      <c r="B42" s="27">
        <f>IF(A42="",0,IF(E41&lt;=0,0,MIN('Auto Loan Setup'!C13,E41*(1+'Auto Loan Setup'!C9/12))))</f>
        <v>520.73</v>
      </c>
      <c r="C42" s="27">
        <f>IF(A42="",0,IF(E41&lt;=0,0,MIN(B42-D42,E41)))</f>
        <v>465.18</v>
      </c>
      <c r="D42" s="27">
        <f>IF(A42="",0,IF(E41&lt;=0,0,ROUND(E41*('Auto Loan Setup'!C9/12),2)))</f>
        <v>55.55</v>
      </c>
      <c r="E42" s="27">
        <f>IF(A42="",0,MAX(E41-C42,0))</f>
        <v>10833.09</v>
      </c>
      <c r="F42" s="27">
        <f>IF(A42="",0,F41+D42)</f>
        <v>3620.83</v>
      </c>
    </row>
    <row r="43" ht="26" customHeight="1" spans="1:6" x14ac:dyDescent="0.25">
      <c r="A43" s="24">
        <f>IF(AND(39&lt;='Auto Loan Setup'!C10,F42&gt;0),39,"")</f>
        <v>39</v>
      </c>
      <c r="B43" s="25">
        <f>IF(A43="",0,IF(E42&lt;=0,0,MIN('Auto Loan Setup'!C13,E42*(1+'Auto Loan Setup'!C9/12))))</f>
        <v>520.73</v>
      </c>
      <c r="C43" s="25">
        <f>IF(A43="",0,IF(E42&lt;=0,0,MIN(B43-D43,E42)))</f>
        <v>467.47</v>
      </c>
      <c r="D43" s="25">
        <f>IF(A43="",0,IF(E42&lt;=0,0,ROUND(E42*('Auto Loan Setup'!C9/12),2)))</f>
        <v>53.26</v>
      </c>
      <c r="E43" s="25">
        <f>IF(A43="",0,MAX(E42-C43,0))</f>
        <v>10365.62</v>
      </c>
      <c r="F43" s="25">
        <f>IF(A43="",0,F42+D43)</f>
        <v>3674.09</v>
      </c>
    </row>
    <row r="44" ht="26" customHeight="1" spans="1:6" x14ac:dyDescent="0.25">
      <c r="A44" s="26">
        <f>IF(AND(40&lt;='Auto Loan Setup'!C10,F43&gt;0),40,"")</f>
        <v>40</v>
      </c>
      <c r="B44" s="27">
        <f>IF(A44="",0,IF(E43&lt;=0,0,MIN('Auto Loan Setup'!C13,E43*(1+'Auto Loan Setup'!C9/12))))</f>
        <v>520.73</v>
      </c>
      <c r="C44" s="27">
        <f>IF(A44="",0,IF(E43&lt;=0,0,MIN(B44-D44,E43)))</f>
        <v>469.77</v>
      </c>
      <c r="D44" s="27">
        <f>IF(A44="",0,IF(E43&lt;=0,0,ROUND(E43*('Auto Loan Setup'!C9/12),2)))</f>
        <v>50.96</v>
      </c>
      <c r="E44" s="27">
        <f>IF(A44="",0,MAX(E43-C44,0))</f>
        <v>9895.85</v>
      </c>
      <c r="F44" s="27">
        <f>IF(A44="",0,F43+D44)</f>
        <v>3725.05</v>
      </c>
    </row>
    <row r="45" ht="26" customHeight="1" spans="1:6" x14ac:dyDescent="0.25">
      <c r="A45" s="24">
        <f>IF(AND(41&lt;='Auto Loan Setup'!C10,F44&gt;0),41,"")</f>
        <v>41</v>
      </c>
      <c r="B45" s="25">
        <f>IF(A45="",0,IF(E44&lt;=0,0,MIN('Auto Loan Setup'!C13,E44*(1+'Auto Loan Setup'!C9/12))))</f>
        <v>520.73</v>
      </c>
      <c r="C45" s="25">
        <f>IF(A45="",0,IF(E44&lt;=0,0,MIN(B45-D45,E44)))</f>
        <v>472.08</v>
      </c>
      <c r="D45" s="25">
        <f>IF(A45="",0,IF(E44&lt;=0,0,ROUND(E44*('Auto Loan Setup'!C9/12),2)))</f>
        <v>48.65</v>
      </c>
      <c r="E45" s="25">
        <f>IF(A45="",0,MAX(E44-C45,0))</f>
        <v>9423.77</v>
      </c>
      <c r="F45" s="25">
        <f>IF(A45="",0,F44+D45)</f>
        <v>3773.7</v>
      </c>
    </row>
    <row r="46" ht="26" customHeight="1" spans="1:6" x14ac:dyDescent="0.25">
      <c r="A46" s="26">
        <f>IF(AND(42&lt;='Auto Loan Setup'!C10,F45&gt;0),42,"")</f>
        <v>42</v>
      </c>
      <c r="B46" s="27">
        <f>IF(A46="",0,IF(E45&lt;=0,0,MIN('Auto Loan Setup'!C13,E45*(1+'Auto Loan Setup'!C9/12))))</f>
        <v>520.73</v>
      </c>
      <c r="C46" s="27">
        <f>IF(A46="",0,IF(E45&lt;=0,0,MIN(B46-D46,E45)))</f>
        <v>474.4</v>
      </c>
      <c r="D46" s="27">
        <f>IF(A46="",0,IF(E45&lt;=0,0,ROUND(E45*('Auto Loan Setup'!C9/12),2)))</f>
        <v>46.33</v>
      </c>
      <c r="E46" s="27">
        <f>IF(A46="",0,MAX(E45-C46,0))</f>
        <v>8949.37</v>
      </c>
      <c r="F46" s="27">
        <f>IF(A46="",0,F45+D46)</f>
        <v>3820.03</v>
      </c>
    </row>
    <row r="47" ht="26" customHeight="1" spans="1:6" x14ac:dyDescent="0.25">
      <c r="A47" s="24">
        <f>IF(AND(43&lt;='Auto Loan Setup'!C10,F46&gt;0),43,"")</f>
        <v>43</v>
      </c>
      <c r="B47" s="25">
        <f>IF(A47="",0,IF(E46&lt;=0,0,MIN('Auto Loan Setup'!C13,E46*(1+'Auto Loan Setup'!C9/12))))</f>
        <v>520.73</v>
      </c>
      <c r="C47" s="25">
        <f>IF(A47="",0,IF(E46&lt;=0,0,MIN(B47-D47,E46)))</f>
        <v>476.73</v>
      </c>
      <c r="D47" s="25">
        <f>IF(A47="",0,IF(E46&lt;=0,0,ROUND(E46*('Auto Loan Setup'!C9/12),2)))</f>
        <v>44</v>
      </c>
      <c r="E47" s="25">
        <f>IF(A47="",0,MAX(E46-C47,0))</f>
        <v>8472.64</v>
      </c>
      <c r="F47" s="25">
        <f>IF(A47="",0,F46+D47)</f>
        <v>3864.03</v>
      </c>
    </row>
    <row r="48" ht="26" customHeight="1" spans="1:6" x14ac:dyDescent="0.25">
      <c r="A48" s="26">
        <f>IF(AND(44&lt;='Auto Loan Setup'!C10,F47&gt;0),44,"")</f>
        <v>44</v>
      </c>
      <c r="B48" s="27">
        <f>IF(A48="",0,IF(E47&lt;=0,0,MIN('Auto Loan Setup'!C13,E47*(1+'Auto Loan Setup'!C9/12))))</f>
        <v>520.73</v>
      </c>
      <c r="C48" s="27">
        <f>IF(A48="",0,IF(E47&lt;=0,0,MIN(B48-D48,E47)))</f>
        <v>479.07</v>
      </c>
      <c r="D48" s="27">
        <f>IF(A48="",0,IF(E47&lt;=0,0,ROUND(E47*('Auto Loan Setup'!C9/12),2)))</f>
        <v>41.66</v>
      </c>
      <c r="E48" s="27">
        <f>IF(A48="",0,MAX(E47-C48,0))</f>
        <v>7993.57</v>
      </c>
      <c r="F48" s="27">
        <f>IF(A48="",0,F47+D48)</f>
        <v>3905.69</v>
      </c>
    </row>
    <row r="49" ht="26" customHeight="1" spans="1:6" x14ac:dyDescent="0.25">
      <c r="A49" s="24">
        <f>IF(AND(45&lt;='Auto Loan Setup'!C10,F48&gt;0),45,"")</f>
        <v>45</v>
      </c>
      <c r="B49" s="25">
        <f>IF(A49="",0,IF(E48&lt;=0,0,MIN('Auto Loan Setup'!C13,E48*(1+'Auto Loan Setup'!C9/12))))</f>
        <v>520.73</v>
      </c>
      <c r="C49" s="25">
        <f>IF(A49="",0,IF(E48&lt;=0,0,MIN(B49-D49,E48)))</f>
        <v>481.43</v>
      </c>
      <c r="D49" s="25">
        <f>IF(A49="",0,IF(E48&lt;=0,0,ROUND(E48*('Auto Loan Setup'!C9/12),2)))</f>
        <v>39.3</v>
      </c>
      <c r="E49" s="25">
        <f>IF(A49="",0,MAX(E48-C49,0))</f>
        <v>7512.14</v>
      </c>
      <c r="F49" s="25">
        <f>IF(A49="",0,F48+D49)</f>
        <v>3944.99</v>
      </c>
    </row>
    <row r="50" ht="26" customHeight="1" spans="1:6" x14ac:dyDescent="0.25">
      <c r="A50" s="26">
        <f>IF(AND(46&lt;='Auto Loan Setup'!C10,F49&gt;0),46,"")</f>
        <v>46</v>
      </c>
      <c r="B50" s="27">
        <f>IF(A50="",0,IF(E49&lt;=0,0,MIN('Auto Loan Setup'!C13,E49*(1+'Auto Loan Setup'!C9/12))))</f>
        <v>520.73</v>
      </c>
      <c r="C50" s="27">
        <f>IF(A50="",0,IF(E49&lt;=0,0,MIN(B50-D50,E49)))</f>
        <v>483.8</v>
      </c>
      <c r="D50" s="27">
        <f>IF(A50="",0,IF(E49&lt;=0,0,ROUND(E49*('Auto Loan Setup'!C9/12),2)))</f>
        <v>36.93</v>
      </c>
      <c r="E50" s="27">
        <f>IF(A50="",0,MAX(E49-C50,0))</f>
        <v>7028.34</v>
      </c>
      <c r="F50" s="27">
        <f>IF(A50="",0,F49+D50)</f>
        <v>3981.92</v>
      </c>
    </row>
    <row r="51" ht="26" customHeight="1" spans="1:6" x14ac:dyDescent="0.25">
      <c r="A51" s="24">
        <f>IF(AND(47&lt;='Auto Loan Setup'!C10,F50&gt;0),47,"")</f>
        <v>47</v>
      </c>
      <c r="B51" s="25">
        <f>IF(A51="",0,IF(E50&lt;=0,0,MIN('Auto Loan Setup'!C13,E50*(1+'Auto Loan Setup'!C9/12))))</f>
        <v>520.73</v>
      </c>
      <c r="C51" s="25">
        <f>IF(A51="",0,IF(E50&lt;=0,0,MIN(B51-D51,E50)))</f>
        <v>486.17</v>
      </c>
      <c r="D51" s="25">
        <f>IF(A51="",0,IF(E50&lt;=0,0,ROUND(E50*('Auto Loan Setup'!C9/12),2)))</f>
        <v>34.56</v>
      </c>
      <c r="E51" s="25">
        <f>IF(A51="",0,MAX(E50-C51,0))</f>
        <v>6542.17</v>
      </c>
      <c r="F51" s="25">
        <f>IF(A51="",0,F50+D51)</f>
        <v>4016.48</v>
      </c>
    </row>
    <row r="52" ht="26" customHeight="1" spans="1:6" x14ac:dyDescent="0.25">
      <c r="A52" s="26">
        <f>IF(AND(48&lt;='Auto Loan Setup'!C10,F51&gt;0),48,"")</f>
        <v>48</v>
      </c>
      <c r="B52" s="27">
        <f>IF(A52="",0,IF(E51&lt;=0,0,MIN('Auto Loan Setup'!C13,E51*(1+'Auto Loan Setup'!C9/12))))</f>
        <v>520.73</v>
      </c>
      <c r="C52" s="27">
        <f>IF(A52="",0,IF(E51&lt;=0,0,MIN(B52-D52,E51)))</f>
        <v>488.56</v>
      </c>
      <c r="D52" s="27">
        <f>IF(A52="",0,IF(E51&lt;=0,0,ROUND(E51*('Auto Loan Setup'!C9/12),2)))</f>
        <v>32.17</v>
      </c>
      <c r="E52" s="27">
        <f>IF(A52="",0,MAX(E51-C52,0))</f>
        <v>6053.61</v>
      </c>
      <c r="F52" s="27">
        <f>IF(A52="",0,F51+D52)</f>
        <v>4048.65</v>
      </c>
    </row>
    <row r="53" ht="26" customHeight="1" spans="1:6" x14ac:dyDescent="0.25">
      <c r="A53" s="24">
        <f>IF(AND(49&lt;='Auto Loan Setup'!C10,F52&gt;0),49,"")</f>
        <v>49</v>
      </c>
      <c r="B53" s="25">
        <f>IF(A53="",0,IF(E52&lt;=0,0,MIN('Auto Loan Setup'!C13,E52*(1+'Auto Loan Setup'!C9/12))))</f>
        <v>520.73</v>
      </c>
      <c r="C53" s="25">
        <f>IF(A53="",0,IF(E52&lt;=0,0,MIN(B53-D53,E52)))</f>
        <v>490.97</v>
      </c>
      <c r="D53" s="25">
        <f>IF(A53="",0,IF(E52&lt;=0,0,ROUND(E52*('Auto Loan Setup'!C9/12),2)))</f>
        <v>29.76</v>
      </c>
      <c r="E53" s="25">
        <f>IF(A53="",0,MAX(E52-C53,0))</f>
        <v>5562.64</v>
      </c>
      <c r="F53" s="25">
        <f>IF(A53="",0,F52+D53)</f>
        <v>4078.41</v>
      </c>
    </row>
    <row r="54" ht="26" customHeight="1" spans="1:6" x14ac:dyDescent="0.25">
      <c r="A54" s="26">
        <f>IF(AND(50&lt;='Auto Loan Setup'!C10,F53&gt;0),50,"")</f>
        <v>50</v>
      </c>
      <c r="B54" s="27">
        <f>IF(A54="",0,IF(E53&lt;=0,0,MIN('Auto Loan Setup'!C13,E53*(1+'Auto Loan Setup'!C9/12))))</f>
        <v>520.73</v>
      </c>
      <c r="C54" s="27">
        <f>IF(A54="",0,IF(E53&lt;=0,0,MIN(B54-D54,E53)))</f>
        <v>493.38</v>
      </c>
      <c r="D54" s="27">
        <f>IF(A54="",0,IF(E53&lt;=0,0,ROUND(E53*('Auto Loan Setup'!C9/12),2)))</f>
        <v>27.35</v>
      </c>
      <c r="E54" s="27">
        <f>IF(A54="",0,MAX(E53-C54,0))</f>
        <v>5069.26</v>
      </c>
      <c r="F54" s="27">
        <f>IF(A54="",0,F53+D54)</f>
        <v>4105.76</v>
      </c>
    </row>
    <row r="55" ht="26" customHeight="1" spans="1:6" x14ac:dyDescent="0.25">
      <c r="A55" s="24">
        <f>IF(AND(51&lt;='Auto Loan Setup'!C10,F54&gt;0),51,"")</f>
        <v>51</v>
      </c>
      <c r="B55" s="25">
        <f>IF(A55="",0,IF(E54&lt;=0,0,MIN('Auto Loan Setup'!C13,E54*(1+'Auto Loan Setup'!C9/12))))</f>
        <v>520.73</v>
      </c>
      <c r="C55" s="25">
        <f>IF(A55="",0,IF(E54&lt;=0,0,MIN(B55-D55,E54)))</f>
        <v>495.81</v>
      </c>
      <c r="D55" s="25">
        <f>IF(A55="",0,IF(E54&lt;=0,0,ROUND(E54*('Auto Loan Setup'!C9/12),2)))</f>
        <v>24.92</v>
      </c>
      <c r="E55" s="25">
        <f>IF(A55="",0,MAX(E54-C55,0))</f>
        <v>4573.45</v>
      </c>
      <c r="F55" s="25">
        <f>IF(A55="",0,F54+D55)</f>
        <v>4130.68</v>
      </c>
    </row>
    <row r="56" ht="26" customHeight="1" spans="1:6" x14ac:dyDescent="0.25">
      <c r="A56" s="26">
        <f>IF(AND(52&lt;='Auto Loan Setup'!C10,F55&gt;0),52,"")</f>
        <v>52</v>
      </c>
      <c r="B56" s="27">
        <f>IF(A56="",0,IF(E55&lt;=0,0,MIN('Auto Loan Setup'!C13,E55*(1+'Auto Loan Setup'!C9/12))))</f>
        <v>520.73</v>
      </c>
      <c r="C56" s="27">
        <f>IF(A56="",0,IF(E55&lt;=0,0,MIN(B56-D56,E55)))</f>
        <v>498.24</v>
      </c>
      <c r="D56" s="27">
        <f>IF(A56="",0,IF(E55&lt;=0,0,ROUND(E55*('Auto Loan Setup'!C9/12),2)))</f>
        <v>22.49</v>
      </c>
      <c r="E56" s="27">
        <f>IF(A56="",0,MAX(E55-C56,0))</f>
        <v>4075.21</v>
      </c>
      <c r="F56" s="27">
        <f>IF(A56="",0,F55+D56)</f>
        <v>4153.17</v>
      </c>
    </row>
    <row r="57" ht="26" customHeight="1" spans="1:6" x14ac:dyDescent="0.25">
      <c r="A57" s="24">
        <f>IF(AND(53&lt;='Auto Loan Setup'!C10,F56&gt;0),53,"")</f>
        <v>53</v>
      </c>
      <c r="B57" s="25">
        <f>IF(A57="",0,IF(E56&lt;=0,0,MIN('Auto Loan Setup'!C13,E56*(1+'Auto Loan Setup'!C9/12))))</f>
        <v>520.73</v>
      </c>
      <c r="C57" s="25">
        <f>IF(A57="",0,IF(E56&lt;=0,0,MIN(B57-D57,E56)))</f>
        <v>500.69</v>
      </c>
      <c r="D57" s="25">
        <f>IF(A57="",0,IF(E56&lt;=0,0,ROUND(E56*('Auto Loan Setup'!C9/12),2)))</f>
        <v>20.04</v>
      </c>
      <c r="E57" s="25">
        <f>IF(A57="",0,MAX(E56-C57,0))</f>
        <v>3574.52</v>
      </c>
      <c r="F57" s="25">
        <f>IF(A57="",0,F56+D57)</f>
        <v>4173.21</v>
      </c>
    </row>
    <row r="58" ht="26" customHeight="1" spans="1:6" x14ac:dyDescent="0.25">
      <c r="A58" s="26">
        <f>IF(AND(54&lt;='Auto Loan Setup'!C10,F57&gt;0),54,"")</f>
        <v>54</v>
      </c>
      <c r="B58" s="27">
        <f>IF(A58="",0,IF(E57&lt;=0,0,MIN('Auto Loan Setup'!C13,E57*(1+'Auto Loan Setup'!C9/12))))</f>
        <v>520.73</v>
      </c>
      <c r="C58" s="27">
        <f>IF(A58="",0,IF(E57&lt;=0,0,MIN(B58-D58,E57)))</f>
        <v>503.16</v>
      </c>
      <c r="D58" s="27">
        <f>IF(A58="",0,IF(E57&lt;=0,0,ROUND(E57*('Auto Loan Setup'!C9/12),2)))</f>
        <v>17.57</v>
      </c>
      <c r="E58" s="27">
        <f>IF(A58="",0,MAX(E57-C58,0))</f>
        <v>3071.36</v>
      </c>
      <c r="F58" s="27">
        <f>IF(A58="",0,F57+D58)</f>
        <v>4190.78</v>
      </c>
    </row>
    <row r="59" ht="26" customHeight="1" spans="1:6" x14ac:dyDescent="0.25">
      <c r="A59" s="24">
        <f>IF(AND(55&lt;='Auto Loan Setup'!C10,F58&gt;0),55,"")</f>
        <v>55</v>
      </c>
      <c r="B59" s="25">
        <f>IF(A59="",0,IF(E58&lt;=0,0,MIN('Auto Loan Setup'!C13,E58*(1+'Auto Loan Setup'!C9/12))))</f>
        <v>520.73</v>
      </c>
      <c r="C59" s="25">
        <f>IF(A59="",0,IF(E58&lt;=0,0,MIN(B59-D59,E58)))</f>
        <v>505.63</v>
      </c>
      <c r="D59" s="25">
        <f>IF(A59="",0,IF(E58&lt;=0,0,ROUND(E58*('Auto Loan Setup'!C9/12),2)))</f>
        <v>15.1</v>
      </c>
      <c r="E59" s="25">
        <f>IF(A59="",0,MAX(E58-C59,0))</f>
        <v>2565.73</v>
      </c>
      <c r="F59" s="25">
        <f>IF(A59="",0,F58+D59)</f>
        <v>4205.88</v>
      </c>
    </row>
    <row r="60" ht="26" customHeight="1" spans="1:6" x14ac:dyDescent="0.25">
      <c r="A60" s="26">
        <f>IF(AND(56&lt;='Auto Loan Setup'!C10,F59&gt;0),56,"")</f>
        <v>56</v>
      </c>
      <c r="B60" s="27">
        <f>IF(A60="",0,IF(E59&lt;=0,0,MIN('Auto Loan Setup'!C13,E59*(1+'Auto Loan Setup'!C9/12))))</f>
        <v>520.73</v>
      </c>
      <c r="C60" s="27">
        <f>IF(A60="",0,IF(E59&lt;=0,0,MIN(B60-D60,E59)))</f>
        <v>508.12</v>
      </c>
      <c r="D60" s="27">
        <f>IF(A60="",0,IF(E59&lt;=0,0,ROUND(E59*('Auto Loan Setup'!C9/12),2)))</f>
        <v>12.61</v>
      </c>
      <c r="E60" s="27">
        <f>IF(A60="",0,MAX(E59-C60,0))</f>
        <v>2057.61</v>
      </c>
      <c r="F60" s="27">
        <f>IF(A60="",0,F59+D60)</f>
        <v>4218.49</v>
      </c>
    </row>
    <row r="61" ht="26" customHeight="1" spans="1:6" x14ac:dyDescent="0.25">
      <c r="A61" s="24">
        <f>IF(AND(57&lt;='Auto Loan Setup'!C10,F60&gt;0),57,"")</f>
        <v>57</v>
      </c>
      <c r="B61" s="25">
        <f>IF(A61="",0,IF(E60&lt;=0,0,MIN('Auto Loan Setup'!C13,E60*(1+'Auto Loan Setup'!C9/12))))</f>
        <v>520.73</v>
      </c>
      <c r="C61" s="25">
        <f>IF(A61="",0,IF(E60&lt;=0,0,MIN(B61-D61,E60)))</f>
        <v>510.61</v>
      </c>
      <c r="D61" s="25">
        <f>IF(A61="",0,IF(E60&lt;=0,0,ROUND(E60*('Auto Loan Setup'!C9/12),2)))</f>
        <v>10.12</v>
      </c>
      <c r="E61" s="25">
        <f>IF(A61="",0,MAX(E60-C61,0))</f>
        <v>1547</v>
      </c>
      <c r="F61" s="25">
        <f>IF(A61="",0,F60+D61)</f>
        <v>4228.61</v>
      </c>
    </row>
    <row r="62" ht="26" customHeight="1" spans="1:6" x14ac:dyDescent="0.25">
      <c r="A62" s="26">
        <f>IF(AND(58&lt;='Auto Loan Setup'!C10,F61&gt;0),58,"")</f>
        <v>58</v>
      </c>
      <c r="B62" s="27">
        <f>IF(A62="",0,IF(E61&lt;=0,0,MIN('Auto Loan Setup'!C13,E61*(1+'Auto Loan Setup'!C9/12))))</f>
        <v>520.73</v>
      </c>
      <c r="C62" s="27">
        <f>IF(A62="",0,IF(E61&lt;=0,0,MIN(B62-D62,E61)))</f>
        <v>513.12</v>
      </c>
      <c r="D62" s="27">
        <f>IF(A62="",0,IF(E61&lt;=0,0,ROUND(E61*('Auto Loan Setup'!C9/12),2)))</f>
        <v>7.61</v>
      </c>
      <c r="E62" s="27">
        <f>IF(A62="",0,MAX(E61-C62,0))</f>
        <v>1033.88</v>
      </c>
      <c r="F62" s="27">
        <f>IF(A62="",0,F61+D62)</f>
        <v>4236.22</v>
      </c>
    </row>
    <row r="63" ht="26" customHeight="1" spans="1:6" x14ac:dyDescent="0.25">
      <c r="A63" s="24">
        <f>IF(AND(59&lt;='Auto Loan Setup'!C10,F62&gt;0),59,"")</f>
        <v>59</v>
      </c>
      <c r="B63" s="25">
        <f>IF(A63="",0,IF(E62&lt;=0,0,MIN('Auto Loan Setup'!C13,E62*(1+'Auto Loan Setup'!C9/12))))</f>
        <v>520.73</v>
      </c>
      <c r="C63" s="25">
        <f>IF(A63="",0,IF(E62&lt;=0,0,MIN(B63-D63,E62)))</f>
        <v>515.65</v>
      </c>
      <c r="D63" s="25">
        <f>IF(A63="",0,IF(E62&lt;=0,0,ROUND(E62*('Auto Loan Setup'!C9/12),2)))</f>
        <v>5.08</v>
      </c>
      <c r="E63" s="25">
        <f>IF(A63="",0,MAX(E62-C63,0))</f>
        <v>518.23</v>
      </c>
      <c r="F63" s="25">
        <f>IF(A63="",0,F62+D63)</f>
        <v>4241.3</v>
      </c>
    </row>
    <row r="64" ht="26" customHeight="1" spans="1:6" x14ac:dyDescent="0.25">
      <c r="A64" s="26">
        <f>IF(AND(60&lt;='Auto Loan Setup'!C10,F63&gt;0),60,"")</f>
        <v>60</v>
      </c>
      <c r="B64" s="27">
        <f>IF(A64="",0,IF(E63&lt;=0,0,MIN('Auto Loan Setup'!C13,E63*(1+'Auto Loan Setup'!C9/12))))</f>
        <v>520.73</v>
      </c>
      <c r="C64" s="27">
        <f>IF(A64="",0,IF(E63&lt;=0,0,MIN(B64-D64,E63)))</f>
        <v>518.18</v>
      </c>
      <c r="D64" s="27">
        <f>IF(A64="",0,IF(E63&lt;=0,0,ROUND(E63*('Auto Loan Setup'!C9/12),2)))</f>
        <v>2.55</v>
      </c>
      <c r="E64" s="27">
        <f>IF(A64="",0,MAX(E63-C64,0))</f>
        <v>0.05</v>
      </c>
      <c r="F64" s="27">
        <f>IF(A64="",0,F63+D64)</f>
        <v>4243.85</v>
      </c>
    </row>
    <row r="65" ht="14" customHeight="1" x14ac:dyDescent="0.25"/>
    <row r="66" ht="6" customHeight="1" x14ac:dyDescent="0.25"/>
    <row r="67" ht="20" customHeight="1" spans="1:6" x14ac:dyDescent="0.25">
      <c r="A67" s="11" t="s">
        <v>17</v>
      </c>
      <c r="B67" s="11"/>
      <c r="C67" s="11"/>
      <c r="D67" s="11"/>
      <c r="E67" s="11"/>
      <c r="F67" s="11"/>
    </row>
    <row r="68" ht="20" customHeight="1" spans="1:6" x14ac:dyDescent="0.25">
      <c r="A68" s="12" t="s">
        <v>18</v>
      </c>
      <c r="B68" s="12"/>
      <c r="C68" s="12"/>
      <c r="D68" s="12"/>
      <c r="E68" s="12"/>
      <c r="F68" s="12"/>
    </row>
  </sheetData>
  <sheetProtection sheet="1"/>
  <mergeCells count="4">
    <mergeCell ref="A1:F1"/>
    <mergeCell ref="A2:F2"/>
    <mergeCell ref="A67:F67"/>
    <mergeCell ref="A68:F68"/>
  </mergeCells>
  <hyperlinks>
    <hyperlink ref="A6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43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28" t="s">
        <v>59</v>
      </c>
      <c r="B1" s="28"/>
    </row>
    <row r="2" ht="24" customHeight="1" spans="1:2" x14ac:dyDescent="0.25">
      <c r="A2" s="29" t="s">
        <v>60</v>
      </c>
      <c r="B2" s="29"/>
    </row>
    <row r="3" ht="14" customHeight="1" x14ac:dyDescent="0.25"/>
    <row r="4" ht="28" customHeight="1" spans="1:2" x14ac:dyDescent="0.25">
      <c r="A4" s="30" t="s">
        <v>61</v>
      </c>
      <c r="B4" s="10"/>
    </row>
    <row r="6" ht="24" customHeight="1" spans="2:2" x14ac:dyDescent="0.25">
      <c r="B6" s="31" t="s">
        <v>62</v>
      </c>
    </row>
    <row r="7" ht="24" customHeight="1" spans="2:2" x14ac:dyDescent="0.25">
      <c r="B7" s="31" t="s">
        <v>63</v>
      </c>
    </row>
    <row r="8" ht="24" customHeight="1" spans="2:2" x14ac:dyDescent="0.25">
      <c r="B8" s="31" t="s">
        <v>64</v>
      </c>
    </row>
    <row r="9" ht="24" customHeight="1" spans="2:2" x14ac:dyDescent="0.25">
      <c r="B9" s="31" t="s">
        <v>65</v>
      </c>
    </row>
    <row r="10" ht="24" customHeight="1" spans="2:2" x14ac:dyDescent="0.25">
      <c r="B10" s="31" t="s">
        <v>66</v>
      </c>
    </row>
    <row r="11" ht="12" customHeight="1" x14ac:dyDescent="0.25"/>
    <row r="12" ht="28" customHeight="1" spans="1:2" x14ac:dyDescent="0.25">
      <c r="A12" s="30" t="s">
        <v>67</v>
      </c>
      <c r="B12" s="10"/>
    </row>
    <row r="14" ht="24" customHeight="1" spans="2:2" x14ac:dyDescent="0.25">
      <c r="B14" s="31" t="s">
        <v>68</v>
      </c>
    </row>
    <row r="15" ht="24" customHeight="1" spans="2:2" x14ac:dyDescent="0.25">
      <c r="B15" s="31" t="s">
        <v>69</v>
      </c>
    </row>
    <row r="16" ht="24" customHeight="1" spans="2:2" x14ac:dyDescent="0.25">
      <c r="B16" s="31" t="s">
        <v>70</v>
      </c>
    </row>
    <row r="17" ht="24" customHeight="1" spans="2:2" x14ac:dyDescent="0.25">
      <c r="B17" s="31" t="s">
        <v>71</v>
      </c>
    </row>
    <row r="18" ht="24" customHeight="1" spans="2:2" x14ac:dyDescent="0.25">
      <c r="B18" s="31" t="s">
        <v>72</v>
      </c>
    </row>
    <row r="19" ht="12" customHeight="1" x14ac:dyDescent="0.25"/>
    <row r="20" ht="28" customHeight="1" spans="1:2" x14ac:dyDescent="0.25">
      <c r="A20" s="30" t="s">
        <v>73</v>
      </c>
      <c r="B20" s="10"/>
    </row>
    <row r="22" ht="24" customHeight="1" spans="2:2" x14ac:dyDescent="0.25">
      <c r="B22" s="31" t="s">
        <v>74</v>
      </c>
    </row>
    <row r="23" ht="24" customHeight="1" spans="2:2" x14ac:dyDescent="0.25">
      <c r="B23" s="31" t="s">
        <v>75</v>
      </c>
    </row>
    <row r="24" ht="24" customHeight="1" spans="2:2" x14ac:dyDescent="0.25">
      <c r="B24" s="31" t="s">
        <v>76</v>
      </c>
    </row>
    <row r="25" ht="24" customHeight="1" spans="2:2" x14ac:dyDescent="0.25">
      <c r="B25" s="31" t="s">
        <v>77</v>
      </c>
    </row>
    <row r="26" ht="24" customHeight="1" spans="2:2" x14ac:dyDescent="0.25">
      <c r="B26" s="31" t="s">
        <v>78</v>
      </c>
    </row>
    <row r="27" ht="12" customHeight="1" x14ac:dyDescent="0.25"/>
    <row r="28" ht="28" customHeight="1" spans="1:2" x14ac:dyDescent="0.25">
      <c r="A28" s="30" t="s">
        <v>79</v>
      </c>
      <c r="B28" s="10"/>
    </row>
    <row r="30" ht="24" customHeight="1" spans="2:2" x14ac:dyDescent="0.25">
      <c r="B30" s="31" t="s">
        <v>80</v>
      </c>
    </row>
    <row r="31" ht="24" customHeight="1" spans="2:2" x14ac:dyDescent="0.25">
      <c r="B31" s="31" t="s">
        <v>81</v>
      </c>
    </row>
    <row r="32" ht="24" customHeight="1" spans="2:2" x14ac:dyDescent="0.25">
      <c r="B32" s="31" t="s">
        <v>82</v>
      </c>
    </row>
    <row r="33" ht="24" customHeight="1" spans="2:2" x14ac:dyDescent="0.25">
      <c r="B33" s="31" t="s">
        <v>83</v>
      </c>
    </row>
    <row r="34" ht="12" customHeight="1" x14ac:dyDescent="0.25"/>
    <row r="35" ht="28" customHeight="1" spans="1:2" x14ac:dyDescent="0.25">
      <c r="A35" s="30" t="s">
        <v>84</v>
      </c>
      <c r="B35" s="10"/>
    </row>
    <row r="37" ht="24" customHeight="1" spans="2:2" x14ac:dyDescent="0.25">
      <c r="B37" s="31" t="s">
        <v>85</v>
      </c>
    </row>
    <row r="38" ht="24" customHeight="1" spans="2:2" x14ac:dyDescent="0.25">
      <c r="B38" s="31" t="s">
        <v>86</v>
      </c>
    </row>
    <row r="39" ht="24" customHeight="1" spans="2:2" x14ac:dyDescent="0.25">
      <c r="B39" s="31" t="s">
        <v>87</v>
      </c>
    </row>
    <row r="40" ht="12" customHeight="1" x14ac:dyDescent="0.25"/>
    <row r="41" ht="6" customHeight="1" x14ac:dyDescent="0.25"/>
    <row r="42" ht="20" customHeight="1" spans="1:2" x14ac:dyDescent="0.25">
      <c r="A42" s="32" t="s">
        <v>17</v>
      </c>
      <c r="B42" s="32"/>
    </row>
    <row r="43" ht="20" customHeight="1" spans="1:2" x14ac:dyDescent="0.25">
      <c r="A43" s="33" t="s">
        <v>18</v>
      </c>
      <c r="B43" s="33"/>
    </row>
  </sheetData>
  <mergeCells count="4">
    <mergeCell ref="A1:B1"/>
    <mergeCell ref="A2:B2"/>
    <mergeCell ref="A42:B42"/>
    <mergeCell ref="A43:B43"/>
  </mergeCells>
  <hyperlinks>
    <hyperlink ref="A4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Auto Loan Setup</vt:lpstr>
      <vt:lpstr>Amortization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Auto Loan Calculator</dc:title>
  <dc:subject>Financial Template</dc:subject>
  <dc:description>Free Auto Loan Calculator template by FinancialAha.com</dc:description>
  <cp:keywords>finance, template, spreadsheet, FinancialAha</cp:keywords>
  <cp:category>Finance</cp:category>
  <cp:lastModifiedBy>Unknown</cp:lastModifiedBy>
  <cp:lastPrinted>2026-04-01T17:59:41Z</cp:lastPrinted>
  <dcterms:created xsi:type="dcterms:W3CDTF">2026-04-01T17:59:41Z</dcterms:created>
  <dcterms:modified xsi:type="dcterms:W3CDTF">2026-04-01T17:59:41Z</dcterms:modified>
</cp:coreProperties>
</file>