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hart1.xml" ContentType="application/vnd.openxmlformats-officedocument.drawingml.chart+xml"/>
  <Override PartName="/xl/drawings/drawing1.xml" ContentType="application/vnd.openxmlformats-officedocument.drawing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Dashboard" state="visible" r:id="rId4"/>
    <sheet sheetId="2" name="ARM Setup" state="visible" r:id="rId5"/>
    <sheet sheetId="3" name="Rate Schedule" state="visible" r:id="rId6"/>
    <sheet sheetId="4" name="How to Use" state="visible" r:id="rId7"/>
  </sheets>
  <calcPr calcId="171027"/>
</workbook>
</file>

<file path=xl/sharedStrings.xml><?xml version="1.0" encoding="utf-8"?>
<sst xmlns="http://schemas.openxmlformats.org/spreadsheetml/2006/main" count="134" uniqueCount="128">
  <si>
    <t>ARM Calculator</t>
  </si>
  <si>
    <t>Project how adjustable rate mortgage payments change over time</t>
  </si>
  <si>
    <t>by FinancialAha.com</t>
  </si>
  <si>
    <t>INITIAL PAYMENT</t>
  </si>
  <si>
    <t>MAX POSSIBLE RATE</t>
  </si>
  <si>
    <t>TOTAL INTEREST</t>
  </si>
  <si>
    <t>during fixed-rate period</t>
  </si>
  <si>
    <t>initial + lifetime cap</t>
  </si>
  <si>
    <t>projected with current index</t>
  </si>
  <si>
    <t>PROJECTED TOTAL COST</t>
  </si>
  <si>
    <t>WORST-CASE TOTAL COST</t>
  </si>
  <si>
    <t>FIXED-RATE INTEREST</t>
  </si>
  <si>
    <t>loan + projected interest</t>
  </si>
  <si>
    <t>if rates hit maximum cap</t>
  </si>
  <si>
    <t>if kept at initial rate for 30 yrs</t>
  </si>
  <si>
    <t>PROJECTED MONTHLY PAYMENT BY YEAR</t>
  </si>
  <si>
    <t>Created with FinancialAha.com - Free financial tools and templates</t>
  </si>
  <si>
    <t>Get a premium spreadsheet from FinancialAha.com</t>
  </si>
  <si>
    <t/>
  </si>
  <si>
    <t>Yr 1</t>
  </si>
  <si>
    <t>Yr 2</t>
  </si>
  <si>
    <t>Yr 3</t>
  </si>
  <si>
    <t>Yr 4</t>
  </si>
  <si>
    <t>Yr 5</t>
  </si>
  <si>
    <t>Yr 6</t>
  </si>
  <si>
    <t>Yr 7</t>
  </si>
  <si>
    <t>Yr 8</t>
  </si>
  <si>
    <t>Yr 9</t>
  </si>
  <si>
    <t>Yr 10</t>
  </si>
  <si>
    <t>Yr 11</t>
  </si>
  <si>
    <t>Yr 12</t>
  </si>
  <si>
    <t>Yr 13</t>
  </si>
  <si>
    <t>Yr 14</t>
  </si>
  <si>
    <t>Yr 15</t>
  </si>
  <si>
    <t>Yr 16</t>
  </si>
  <si>
    <t>Yr 17</t>
  </si>
  <si>
    <t>Yr 18</t>
  </si>
  <si>
    <t>Yr 19</t>
  </si>
  <si>
    <t>Yr 20</t>
  </si>
  <si>
    <t>Yr 21</t>
  </si>
  <si>
    <t>Yr 22</t>
  </si>
  <si>
    <t>Yr 23</t>
  </si>
  <si>
    <t>Yr 24</t>
  </si>
  <si>
    <t>Yr 25</t>
  </si>
  <si>
    <t>Yr 26</t>
  </si>
  <si>
    <t>Yr 27</t>
  </si>
  <si>
    <t>Yr 28</t>
  </si>
  <si>
    <t>Yr 29</t>
  </si>
  <si>
    <t>Yr 30</t>
  </si>
  <si>
    <t>Payment</t>
  </si>
  <si>
    <t>ARM Setup</t>
  </si>
  <si>
    <t>Enter your adjustable rate mortgage details in the yellow cells below.</t>
  </si>
  <si>
    <t>LOAN DETAILS</t>
  </si>
  <si>
    <t>Loan Amount</t>
  </si>
  <si>
    <t>Mortgage principal amount</t>
  </si>
  <si>
    <t>Initial Interest Rate</t>
  </si>
  <si>
    <t>Fixed rate during intro period</t>
  </si>
  <si>
    <t>Fixed-Rate Period (years)</t>
  </si>
  <si>
    <t>e.g. 5 for a 5/1 ARM, 7 for 7/1</t>
  </si>
  <si>
    <t>Loan Term (years)</t>
  </si>
  <si>
    <t>Total loan term (typically 30)</t>
  </si>
  <si>
    <t>Start Date</t>
  </si>
  <si>
    <t>First payment date</t>
  </si>
  <si>
    <t>RATE ADJUSTMENT CAPS</t>
  </si>
  <si>
    <t>Periodic Cap (per adjustment)</t>
  </si>
  <si>
    <t>Max rate change per adjustment (e.g. 2%)</t>
  </si>
  <si>
    <t>Lifetime Cap (over initial)</t>
  </si>
  <si>
    <t>Max increase over initial rate (e.g. 5%)</t>
  </si>
  <si>
    <t>Current Index Rate</t>
  </si>
  <si>
    <t>e.g. SOFR, 1-Year Treasury, etc.</t>
  </si>
  <si>
    <t>Margin</t>
  </si>
  <si>
    <t>Added to index to determine new rate</t>
  </si>
  <si>
    <t>CALCULATED RESULTS</t>
  </si>
  <si>
    <t>Maximum Possible Rate</t>
  </si>
  <si>
    <t>Initial Monthly Payment</t>
  </si>
  <si>
    <t>Fixed-Rate Total Interest</t>
  </si>
  <si>
    <t>PROJECTED TOTALS</t>
  </si>
  <si>
    <t>Projected Total Interest</t>
  </si>
  <si>
    <t>Projected Total Cost</t>
  </si>
  <si>
    <t>Worst-Case Interest</t>
  </si>
  <si>
    <t>Worst-Case Total Cost</t>
  </si>
  <si>
    <t>ARM Rate Adjustment Schedule</t>
  </si>
  <si>
    <t>Year-by-year rate changes, payments, and remaining balance. Column H shows worst-case interest per year.</t>
  </si>
  <si>
    <t>Year</t>
  </si>
  <si>
    <t>Date</t>
  </si>
  <si>
    <t>Rate</t>
  </si>
  <si>
    <t>Monthly Pmt</t>
  </si>
  <si>
    <t>Annual Pmt</t>
  </si>
  <si>
    <t>Year Interest</t>
  </si>
  <si>
    <t>End Balance</t>
  </si>
  <si>
    <t>WC Year Interest</t>
  </si>
  <si>
    <t>How to Use This Template</t>
  </si>
  <si>
    <t>ARM Calculator by FinancialAha.com</t>
  </si>
  <si>
    <t>GETTING STARTED</t>
  </si>
  <si>
    <t>1. Go to the "ARM Setup" sheet and enter your loan details in the yellow cells.</t>
  </si>
  <si>
    <t>2. Enter your Loan Amount and the Initial Interest Rate (the fixed-period rate).</t>
  </si>
  <si>
    <t>3. Set the Fixed-Rate Period (e.g. 5 for a 5/1 ARM).</t>
  </si>
  <si>
    <t>4. Enter Rate Adjustment Caps: Periodic Cap, Lifetime Cap, and the current Index Rate.</t>
  </si>
  <si>
    <t>5. Enter the Margin (typically provided in your loan terms).</t>
  </si>
  <si>
    <t>UNDERSTANDING ARM STRUCTURE</t>
  </si>
  <si>
    <t>An ARM has two phases: a fixed-rate period and an adjustable-rate period.</t>
  </si>
  <si>
    <t>A "5/1 ARM" means 5 years fixed, then adjusts every 1 year.</t>
  </si>
  <si>
    <t>After the fixed period, the new rate = Index Rate + Margin.</t>
  </si>
  <si>
    <t>The Periodic Cap limits how much the rate can change at each adjustment.</t>
  </si>
  <si>
    <t>The Lifetime Cap limits the total increase over the initial rate.</t>
  </si>
  <si>
    <t>UNDERSTANDING THE DASHBOARD</t>
  </si>
  <si>
    <t>Top KPIs show Initial Payment, Maximum Possible Rate, and Projected Total Interest.</t>
  </si>
  <si>
    <t>Bottom KPIs show Projected Total Cost, Worst-Case Cost, and Fixed-Rate comparison.</t>
  </si>
  <si>
    <t>The chart shows how your monthly payment is projected to change each year.</t>
  </si>
  <si>
    <t>Projected values assume the current index rate stays constant.</t>
  </si>
  <si>
    <t>Worst-case values assume rates increase by the maximum cap each adjustment.</t>
  </si>
  <si>
    <t>READING THE RATE SCHEDULE</t>
  </si>
  <si>
    <t>Each row represents one year of the loan.</t>
  </si>
  <si>
    <t>Rate shows the interest rate for that year (fixed during intro, then adjusting).</t>
  </si>
  <si>
    <t>Monthly Payment is recalculated each year based on the new rate and remaining balance.</t>
  </si>
  <si>
    <t>Year Interest shows the total interest paid during that year.</t>
  </si>
  <si>
    <t>End Balance shows what you owe at the end of each year.</t>
  </si>
  <si>
    <t>WC Year Interest shows worst-case interest if rates hit maximum caps.</t>
  </si>
  <si>
    <t>TIPS</t>
  </si>
  <si>
    <t>Compare ARM vs fixed-rate by looking at the Fixed-Rate Interest KPI.</t>
  </si>
  <si>
    <t>If you plan to sell or refinance before the fixed period ends, an ARM may cost less.</t>
  </si>
  <si>
    <t>The worst-case scenario helps you understand the maximum possible payment.</t>
  </si>
  <si>
    <t>Changing the Index Rate lets you model different rate environments.</t>
  </si>
  <si>
    <t>Try different fixed-rate periods (3, 5, 7, 10) to see the trade-offs.</t>
  </si>
  <si>
    <t>COMPATIBILITY</t>
  </si>
  <si>
    <t>This template works in Microsoft Excel, Google Sheets, and LibreOffice Calc.</t>
  </si>
  <si>
    <t>No macros or VBA required - everything is formula-driven.</t>
  </si>
  <si>
    <t>Yellow cells are editable inputs. Green cells contain formulas - avoid overwriting them.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</si>
</sst>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$#,##0.00"/>
    <numFmt numFmtId="165" formatCode="$#,##0"/>
    <numFmt numFmtId="166" formatCode="MMM YYYY"/>
  </numFmts>
  <fonts count="20" x14ac:knownFonts="1">
    <font>
      <color theme="1"/>
      <family val="2"/>
      <scheme val="minor"/>
      <sz val="11"/>
      <name val="Calibri"/>
    </font>
    <font>
      <b/>
      <color rgb="14213D"/>
      <sz val="24"/>
      <name val="Aptos"/>
    </font>
    <font>
      <color rgb="4A4F5E"/>
      <sz val="11"/>
      <name val="Aptos"/>
    </font>
    <font>
      <i/>
      <u/>
      <color rgb="9A7B4F"/>
      <sz val="9"/>
      <name val="Aptos"/>
    </font>
    <font>
      <b/>
      <color rgb="A3A9B8"/>
      <sz val="9"/>
      <name val="Aptos"/>
    </font>
    <font>
      <b/>
      <color rgb="1A1D26"/>
      <sz val="20"/>
      <name val="Aptos"/>
    </font>
    <font>
      <b/>
      <color rgb="B91C1C"/>
      <sz val="20"/>
      <name val="Aptos"/>
    </font>
    <font>
      <color rgb="A3A9B8"/>
      <sz val="8"/>
      <name val="Aptos"/>
    </font>
    <font>
      <b/>
      <color rgb="14213D"/>
      <sz val="11"/>
      <name val="Aptos"/>
    </font>
    <font>
      <color rgb="7C8494"/>
      <sz val="8"/>
      <name val="Aptos"/>
    </font>
    <font>
      <u/>
      <color rgb="9A7B4F"/>
      <sz val="8"/>
      <name val="Aptos"/>
    </font>
    <font>
      <color rgb="FFFFFF"/>
      <sz val="1"/>
      <name val="Aptos"/>
    </font>
    <font>
      <b/>
      <color rgb="14213D"/>
      <sz val="22"/>
      <name val="Aptos"/>
    </font>
    <font>
      <i/>
      <color rgb="7C8494"/>
      <sz val="9"/>
      <name val="Aptos"/>
    </font>
    <font>
      <b/>
      <color rgb="1A1D26"/>
      <sz val="10"/>
      <name val="Aptos"/>
    </font>
    <font>
      <color rgb="1A1D26"/>
      <sz val="10"/>
      <name val="Aptos"/>
    </font>
    <font>
      <b/>
      <color rgb="14213D"/>
      <sz val="10"/>
      <name val="Aptos"/>
    </font>
    <font>
      <b/>
      <color rgb="14213D"/>
      <sz val="16"/>
      <name val="Aptos"/>
    </font>
    <font>
      <b/>
      <color rgb="FFFFFF"/>
      <sz val="10"/>
      <name val="Aptos"/>
    </font>
    <font>
      <color rgb="4A4F5E"/>
      <sz val="10"/>
      <name val="Aptos"/>
    </font>
  </fonts>
  <fills count="6">
    <fill>
      <patternFill patternType="none"/>
    </fill>
    <fill>
      <patternFill patternType="gray125"/>
    </fill>
    <fill>
      <patternFill patternType="solid">
        <fgColor rgb="FFFCF4"/>
      </patternFill>
    </fill>
    <fill>
      <patternFill patternType="solid">
        <fgColor rgb="EEF0F7"/>
      </patternFill>
    </fill>
    <fill>
      <patternFill patternType="solid">
        <fgColor rgb="14213D"/>
      </patternFill>
    </fill>
    <fill>
      <patternFill patternType="solid">
        <fgColor rgb="F4F5F7"/>
      </patternFill>
    </fill>
  </fills>
  <borders count="8">
    <border>
      <left/>
      <right/>
      <top/>
      <bottom/>
      <diagonal/>
    </border>
    <border>
      <left style="thin">
        <color rgb="E2E4EA"/>
      </left>
      <right style="thin">
        <color rgb="E2E4EA"/>
      </right>
      <top style="thin">
        <color rgb="E2E4EA"/>
      </top>
      <bottom/>
      <diagonal/>
    </border>
    <border>
      <left style="thin">
        <color rgb="E2E4EA"/>
      </left>
      <right style="thin">
        <color rgb="E2E4EA"/>
      </right>
      <top/>
      <bottom/>
      <diagonal/>
    </border>
    <border>
      <left style="thin">
        <color rgb="E2E4EA"/>
      </left>
      <right style="thin">
        <color rgb="E2E4EA"/>
      </right>
      <top/>
      <bottom style="thin">
        <color rgb="E2E4EA"/>
      </bottom>
      <diagonal/>
    </border>
    <border>
      <left/>
      <right/>
      <top/>
      <bottom style="medium">
        <color rgb="14213D"/>
      </bottom>
      <diagonal/>
    </border>
    <border>
      <left style="thin">
        <color rgb="E3D9BD"/>
      </left>
      <right style="thin">
        <color rgb="E3D9BD"/>
      </right>
      <top style="thin">
        <color rgb="E3D9BD"/>
      </top>
      <bottom style="thin">
        <color rgb="E3D9BD"/>
      </bottom>
      <diagonal/>
    </border>
    <border>
      <left style="thin">
        <color rgb="A8B0C8"/>
      </left>
      <right style="thin">
        <color rgb="A8B0C8"/>
      </right>
      <top style="thin">
        <color rgb="A8B0C8"/>
      </top>
      <bottom style="thin">
        <color rgb="A8B0C8"/>
      </bottom>
      <diagonal/>
    </border>
    <border>
      <left/>
      <right/>
      <top/>
      <bottom style="thin">
        <color rgb="E8EAF0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 applyAlignment="1" applyProtection="1">
      <alignment horizontal="left" vertical="center" indent="1"/>
    </xf>
    <xf numFmtId="0" fontId="2" fillId="0" borderId="0" xfId="0" applyFont="1" applyAlignment="1" applyProtection="1">
      <alignment horizontal="left" vertical="center" indent="1"/>
    </xf>
    <xf numFmtId="0" fontId="3" fillId="0" borderId="0" xfId="0" applyFont="1" applyAlignment="1" applyProtection="1">
      <alignment horizontal="right" vertical="center"/>
    </xf>
    <xf numFmtId="0" fontId="4" fillId="0" borderId="1" xfId="0" applyFont="1" applyBorder="1" applyAlignment="1" applyProtection="1">
      <alignment horizontal="center" vertical="bottom"/>
    </xf>
    <xf numFmtId="164" fontId="5" fillId="0" borderId="2" xfId="0" applyNumberFormat="1" applyFont="1" applyBorder="1" applyAlignment="1" applyProtection="1">
      <alignment horizontal="center" vertical="center"/>
    </xf>
    <xf numFmtId="10" fontId="6" fillId="0" borderId="2" xfId="0" applyNumberFormat="1" applyFont="1" applyBorder="1" applyAlignment="1" applyProtection="1">
      <alignment horizontal="center" vertical="center"/>
    </xf>
    <xf numFmtId="165" fontId="6" fillId="0" borderId="2" xfId="0" applyNumberFormat="1" applyFont="1" applyBorder="1" applyAlignment="1" applyProtection="1">
      <alignment horizontal="center" vertical="center"/>
    </xf>
    <xf numFmtId="0" fontId="7" fillId="0" borderId="3" xfId="0" applyFont="1" applyBorder="1" applyAlignment="1" applyProtection="1">
      <alignment horizontal="center" vertical="top"/>
    </xf>
    <xf numFmtId="165" fontId="5" fillId="0" borderId="2" xfId="0" applyNumberFormat="1" applyFont="1" applyBorder="1" applyAlignment="1" applyProtection="1">
      <alignment horizontal="center" vertical="center"/>
    </xf>
    <xf numFmtId="0" fontId="8" fillId="0" borderId="4" xfId="0" applyFont="1" applyBorder="1" applyAlignment="1" applyProtection="1">
      <alignment horizontal="left" vertical="center" indent="1"/>
    </xf>
    <xf numFmtId="0" fontId="0" fillId="0" borderId="4" xfId="0" applyBorder="1"/>
    <xf numFmtId="0" fontId="9" fillId="0" borderId="0" xfId="0" applyFont="1" applyAlignment="1" applyProtection="1">
      <alignment horizontal="left" vertical="center" indent="1"/>
    </xf>
    <xf numFmtId="0" fontId="10" fillId="0" borderId="0" xfId="0" applyFont="1" applyAlignment="1" applyProtection="1">
      <alignment horizontal="left" vertical="center" indent="1"/>
    </xf>
    <xf numFmtId="0" fontId="11" fillId="0" borderId="0" xfId="0" applyFont="1" applyProtection="1"/>
    <xf numFmtId="0" fontId="12" fillId="0" borderId="0" xfId="0" applyFont="1" applyAlignment="1" applyProtection="1">
      <alignment horizontal="left" vertical="center" indent="1"/>
    </xf>
    <xf numFmtId="0" fontId="13" fillId="0" borderId="0" xfId="0" applyFont="1" applyAlignment="1" applyProtection="1">
      <alignment horizontal="left" vertical="center" wrapText="1" indent="1"/>
    </xf>
    <xf numFmtId="0" fontId="14" fillId="0" borderId="0" xfId="0" applyFont="1" applyAlignment="1" applyProtection="1">
      <alignment horizontal="left" vertical="center" indent="1"/>
    </xf>
    <xf numFmtId="165" fontId="15" fillId="2" borderId="5" xfId="0" applyNumberFormat="1" applyFont="1" applyFill="1" applyBorder="1" applyAlignment="1" applyProtection="1">
      <alignment horizontal="right" vertical="center"/>
      <protection locked="0"/>
    </xf>
    <xf numFmtId="10" fontId="15" fillId="2" borderId="5" xfId="0" applyNumberFormat="1" applyFont="1" applyFill="1" applyBorder="1" applyAlignment="1" applyProtection="1">
      <alignment horizontal="right" vertical="center"/>
      <protection locked="0"/>
    </xf>
    <xf numFmtId="3" fontId="15" fillId="2" borderId="5" xfId="0" applyNumberFormat="1" applyFont="1" applyFill="1" applyBorder="1" applyAlignment="1" applyProtection="1">
      <alignment horizontal="right" vertical="center"/>
      <protection locked="0"/>
    </xf>
    <xf numFmtId="166" fontId="15" fillId="2" borderId="5" xfId="0" applyNumberFormat="1" applyFont="1" applyFill="1" applyBorder="1" applyAlignment="1" applyProtection="1">
      <alignment horizontal="right" vertical="center"/>
      <protection locked="0"/>
    </xf>
    <xf numFmtId="0" fontId="0" fillId="0" borderId="4" xfId="0" applyBorder="1" applyProtection="1">
      <protection locked="0"/>
    </xf>
    <xf numFmtId="10" fontId="15" fillId="2" borderId="5" xfId="0" applyNumberFormat="1" applyFont="1" applyFill="1" applyBorder="1" applyAlignment="1" applyProtection="1">
      <alignment horizontal="right" vertical="center"/>
    </xf>
    <xf numFmtId="10" fontId="16" fillId="3" borderId="6" xfId="0" applyNumberFormat="1" applyFont="1" applyFill="1" applyBorder="1" applyAlignment="1" applyProtection="1">
      <alignment horizontal="right" vertical="center"/>
    </xf>
    <xf numFmtId="164" fontId="17" fillId="3" borderId="6" xfId="0" applyNumberFormat="1" applyFont="1" applyFill="1" applyBorder="1" applyAlignment="1" applyProtection="1">
      <alignment horizontal="center" vertical="center"/>
    </xf>
    <xf numFmtId="164" fontId="16" fillId="3" borderId="6" xfId="0" applyNumberFormat="1" applyFont="1" applyFill="1" applyBorder="1" applyAlignment="1" applyProtection="1">
      <alignment horizontal="right" vertical="center"/>
    </xf>
    <xf numFmtId="165" fontId="16" fillId="3" borderId="6" xfId="0" applyNumberFormat="1" applyFont="1" applyFill="1" applyBorder="1" applyAlignment="1" applyProtection="1">
      <alignment horizontal="right" vertical="center"/>
    </xf>
    <xf numFmtId="165" fontId="17" fillId="3" borderId="6" xfId="0" applyNumberFormat="1" applyFont="1" applyFill="1" applyBorder="1" applyAlignment="1" applyProtection="1">
      <alignment horizontal="center" vertical="center"/>
    </xf>
    <xf numFmtId="0" fontId="18" fillId="4" borderId="0" xfId="0" applyFont="1" applyFill="1" applyAlignment="1" applyProtection="1">
      <alignment horizontal="left" vertical="center" wrapText="1" indent="1"/>
    </xf>
    <xf numFmtId="0" fontId="18" fillId="4" borderId="0" xfId="0" applyFont="1" applyFill="1" applyAlignment="1" applyProtection="1">
      <alignment horizontal="center" vertical="center" wrapText="1"/>
    </xf>
    <xf numFmtId="0" fontId="15" fillId="0" borderId="7" xfId="0" applyFont="1" applyBorder="1" applyAlignment="1" applyProtection="1">
      <alignment vertical="center" indent="1"/>
    </xf>
    <xf numFmtId="166" fontId="15" fillId="0" borderId="7" xfId="0" applyNumberFormat="1" applyFont="1" applyBorder="1" applyAlignment="1" applyProtection="1">
      <alignment horizontal="right" vertical="center"/>
    </xf>
    <xf numFmtId="10" fontId="15" fillId="0" borderId="7" xfId="0" applyNumberFormat="1" applyFont="1" applyBorder="1" applyAlignment="1" applyProtection="1">
      <alignment horizontal="right" vertical="center"/>
    </xf>
    <xf numFmtId="164" fontId="15" fillId="0" borderId="7" xfId="0" applyNumberFormat="1" applyFont="1" applyBorder="1" applyAlignment="1" applyProtection="1">
      <alignment horizontal="right" vertical="center"/>
    </xf>
    <xf numFmtId="0" fontId="15" fillId="5" borderId="7" xfId="0" applyFont="1" applyFill="1" applyBorder="1" applyAlignment="1" applyProtection="1">
      <alignment vertical="center" indent="1"/>
    </xf>
    <xf numFmtId="166" fontId="15" fillId="5" borderId="7" xfId="0" applyNumberFormat="1" applyFont="1" applyFill="1" applyBorder="1" applyAlignment="1" applyProtection="1">
      <alignment horizontal="right" vertical="center"/>
    </xf>
    <xf numFmtId="10" fontId="15" fillId="5" borderId="7" xfId="0" applyNumberFormat="1" applyFont="1" applyFill="1" applyBorder="1" applyAlignment="1" applyProtection="1">
      <alignment horizontal="right" vertical="center"/>
    </xf>
    <xf numFmtId="164" fontId="15" fillId="5" borderId="7" xfId="0" applyNumberFormat="1" applyFont="1" applyFill="1" applyBorder="1" applyAlignment="1" applyProtection="1">
      <alignment horizontal="right" vertical="center"/>
    </xf>
    <xf numFmtId="0" fontId="12" fillId="0" borderId="0" xfId="0" applyFont="1" applyAlignment="1">
      <alignment horizontal="left" vertical="center" indent="1"/>
    </xf>
    <xf numFmtId="0" fontId="13" fillId="0" borderId="0" xfId="0" applyFont="1" applyAlignment="1">
      <alignment horizontal="left" vertical="center" wrapText="1" indent="1"/>
    </xf>
    <xf numFmtId="0" fontId="8" fillId="0" borderId="4" xfId="0" applyFont="1" applyBorder="1" applyAlignment="1">
      <alignment horizontal="left" vertical="center" indent="1"/>
    </xf>
    <xf numFmtId="0" fontId="19" fillId="0" borderId="0" xfId="0" applyFont="1" applyAlignment="1">
      <alignment horizontal="left" vertical="center" indent="1"/>
    </xf>
    <xf numFmtId="0" fontId="9" fillId="0" borderId="0" xfId="0" applyFont="1" applyAlignment="1">
      <alignment horizontal="left" vertical="center" indent="1"/>
    </xf>
    <xf numFmtId="0" fontId="10" fillId="0" borderId="0" xfId="0" applyFont="1" applyAlignment="1">
      <alignment horizontal="left" vertical="center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200" b="1"/>
            </a:pPr>
            <a:r>
              <a:rPr lang="en-US" sz="1200" b="1"/>
              <a:t>Projected Monthly Payment by Year</a:t>
            </a:r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Dashboard!$B$33</c:f>
              <c:strCache>
                <c:ptCount val="1"/>
                <c:pt idx="0">
                  <c:v>Payment</c:v>
                </c:pt>
              </c:strCache>
            </c:strRef>
          </c:tx>
          <c:spPr>
            <a:solidFill>
              <a:srgbClr val="14213D"/>
            </a:solidFill>
            <a:ln>
              <a:noFill/>
            </a:ln>
          </c:spPr>
          <c:cat>
            <c:strRef>
              <c:f>Dashboard!$C$32:$AF$32</c:f>
              <c:strCache>
                <c:ptCount val="30"/>
                <c:pt idx="0">
                  <c:v>Yr 1</c:v>
                </c:pt>
                <c:pt idx="1">
                  <c:v>Yr 2</c:v>
                </c:pt>
                <c:pt idx="2">
                  <c:v>Yr 3</c:v>
                </c:pt>
                <c:pt idx="3">
                  <c:v>Yr 4</c:v>
                </c:pt>
                <c:pt idx="4">
                  <c:v>Yr 5</c:v>
                </c:pt>
                <c:pt idx="5">
                  <c:v>Yr 6</c:v>
                </c:pt>
                <c:pt idx="6">
                  <c:v>Yr 7</c:v>
                </c:pt>
                <c:pt idx="7">
                  <c:v>Yr 8</c:v>
                </c:pt>
                <c:pt idx="8">
                  <c:v>Yr 9</c:v>
                </c:pt>
                <c:pt idx="9">
                  <c:v>Yr 10</c:v>
                </c:pt>
                <c:pt idx="10">
                  <c:v>Yr 11</c:v>
                </c:pt>
                <c:pt idx="11">
                  <c:v>Yr 12</c:v>
                </c:pt>
                <c:pt idx="12">
                  <c:v>Yr 13</c:v>
                </c:pt>
                <c:pt idx="13">
                  <c:v>Yr 14</c:v>
                </c:pt>
                <c:pt idx="14">
                  <c:v>Yr 15</c:v>
                </c:pt>
                <c:pt idx="15">
                  <c:v>Yr 16</c:v>
                </c:pt>
                <c:pt idx="16">
                  <c:v>Yr 17</c:v>
                </c:pt>
                <c:pt idx="17">
                  <c:v>Yr 18</c:v>
                </c:pt>
                <c:pt idx="18">
                  <c:v>Yr 19</c:v>
                </c:pt>
                <c:pt idx="19">
                  <c:v>Yr 20</c:v>
                </c:pt>
                <c:pt idx="20">
                  <c:v>Yr 21</c:v>
                </c:pt>
                <c:pt idx="21">
                  <c:v>Yr 22</c:v>
                </c:pt>
                <c:pt idx="22">
                  <c:v>Yr 23</c:v>
                </c:pt>
                <c:pt idx="23">
                  <c:v>Yr 24</c:v>
                </c:pt>
                <c:pt idx="24">
                  <c:v>Yr 25</c:v>
                </c:pt>
                <c:pt idx="25">
                  <c:v>Yr 26</c:v>
                </c:pt>
                <c:pt idx="26">
                  <c:v>Yr 27</c:v>
                </c:pt>
                <c:pt idx="27">
                  <c:v>Yr 28</c:v>
                </c:pt>
                <c:pt idx="28">
                  <c:v>Yr 29</c:v>
                </c:pt>
                <c:pt idx="29">
                  <c:v>Yr 30</c:v>
                </c:pt>
              </c:strCache>
            </c:strRef>
          </c:cat>
          <c:val>
            <c:numRef>
              <c:f>Dashboard!$C$33:$AF$33</c:f>
              <c:numCache>
                <c:formatCode>$#,##0</c:formatCode>
                <c:ptCount val="30"/>
                <c:pt idx="0">
                  <c:v>1878.88</c:v>
                </c:pt>
                <c:pt idx="1">
                  <c:v>1878.88</c:v>
                </c:pt>
                <c:pt idx="2">
                  <c:v>1878.88</c:v>
                </c:pt>
                <c:pt idx="3">
                  <c:v>1878.87</c:v>
                </c:pt>
                <c:pt idx="4">
                  <c:v>1878.88</c:v>
                </c:pt>
                <c:pt idx="5">
                  <c:v>2271.59</c:v>
                </c:pt>
                <c:pt idx="6">
                  <c:v>2321.74</c:v>
                </c:pt>
                <c:pt idx="7">
                  <c:v>2321.74</c:v>
                </c:pt>
                <c:pt idx="8">
                  <c:v>2321.74</c:v>
                </c:pt>
                <c:pt idx="9">
                  <c:v>2321.74</c:v>
                </c:pt>
                <c:pt idx="10">
                  <c:v>2321.74</c:v>
                </c:pt>
                <c:pt idx="11">
                  <c:v>2321.74</c:v>
                </c:pt>
                <c:pt idx="12">
                  <c:v>2321.74</c:v>
                </c:pt>
                <c:pt idx="13">
                  <c:v>2321.74</c:v>
                </c:pt>
                <c:pt idx="14">
                  <c:v>2321.74</c:v>
                </c:pt>
                <c:pt idx="15">
                  <c:v>2321.74</c:v>
                </c:pt>
                <c:pt idx="16">
                  <c:v>2321.74</c:v>
                </c:pt>
                <c:pt idx="17">
                  <c:v>2321.74</c:v>
                </c:pt>
                <c:pt idx="18">
                  <c:v>2321.74</c:v>
                </c:pt>
                <c:pt idx="19">
                  <c:v>2321.74</c:v>
                </c:pt>
                <c:pt idx="20">
                  <c:v>2321.74</c:v>
                </c:pt>
                <c:pt idx="21">
                  <c:v>2321.74</c:v>
                </c:pt>
                <c:pt idx="22">
                  <c:v>2321.74</c:v>
                </c:pt>
                <c:pt idx="23">
                  <c:v>2321.74</c:v>
                </c:pt>
                <c:pt idx="24">
                  <c:v>2321.74</c:v>
                </c:pt>
                <c:pt idx="25">
                  <c:v>2321.74</c:v>
                </c:pt>
                <c:pt idx="26">
                  <c:v>2321.74</c:v>
                </c:pt>
                <c:pt idx="27">
                  <c:v>2321.74</c:v>
                </c:pt>
                <c:pt idx="28">
                  <c:v>2321.75</c:v>
                </c:pt>
                <c:pt idx="29">
                  <c:v>2321.74</c:v>
                </c:pt>
              </c:numCache>
            </c:numRef>
          </c:val>
        </c:ser>
        <c:axId val="111111111"/>
        <c:axId val="222222222"/>
      </c:barChart>
      <c:catAx>
        <c:axId val="111111111"/>
        <c:scaling>
          <c:orientation val="minMax"/>
        </c:scaling>
        <c:delete val="0"/>
        <c:axPos val="l"/>
        <c:tickLblPos val="nextTo"/>
        <c:crossAx val="222222222"/>
        <c:crosses val="autoZero"/>
        <c:auto val="1"/>
        <c:lblAlgn val="ctr"/>
        <c:lblOffset val="100"/>
      </c:catAx>
      <c:valAx>
        <c:axId val="222222222"/>
        <c:scaling>
          <c:orientation val="minMax"/>
        </c:scaling>
        <c:delete val="0"/>
        <c:axPos val="b"/>
        <c:majorGridlines/>
        <c:numFmt formatCode="$#,##0" sourceLinked="0"/>
        <c:tickLblPos val="nextTo"/>
        <c:crossAx val="111111111"/>
        <c:crosses val="autoZero"/>
        <c:crossBetween val="between"/>
      </c:valAx>
    </c:plotArea>
    <c:legend>
      <c:legendPos val="b"/>
      <c:overlay val="0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15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hyperlink" Target="https://www.financialaha.com/?ref=excel-free" TargetMode="External"/><Relationship Id="rId2" Type="http://schemas.openxmlformats.org/officeDocument/2006/relationships/hyperlink" Target="https://www.financialaha.com/spreadsheet-templates/?ref=excel-free" TargetMode="External"/><Relationship Id="rIdDrawing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hyperlink" Target="https://www.financialaha.com/spreadsheet-templates/?ref=excel-free" TargetMode="External"/></Relationships>
</file>

<file path=xl/worksheets/_rels/sheet3.xml.rels><?xml version="1.0" encoding="UTF-8" standalone="yes"?>
<Relationships xmlns="http://schemas.openxmlformats.org/package/2006/relationships"><Relationship Id="rId1" Type="http://schemas.openxmlformats.org/officeDocument/2006/relationships/hyperlink" Target="https://www.financialaha.com/spreadsheet-templates/?ref=excel-free" TargetMode="External"/></Relationships>
</file>

<file path=xl/worksheets/_rels/sheet4.xml.rels><?xml version="1.0" encoding="UTF-8" standalone="yes"?>
<Relationships xmlns="http://schemas.openxmlformats.org/package/2006/relationships"><Relationship Id="rId1" Type="http://schemas.openxmlformats.org/officeDocument/2006/relationships/hyperlink" Target="https://www.financialaha.com/spreadsheet-templates/?ref=excel-fre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14213D"/>
    <pageSetUpPr fitToPage="1"/>
  </sheetPr>
  <dimension ref="A1:AF33"/>
  <sheetViews>
    <sheetView workbookViewId="0" showGridLines="0" zoomScale="125"/>
  </sheetViews>
  <sheetFormatPr defaultRowHeight="15" outlineLevelRow="0" outlineLevelCol="0" x14ac:dyDescent="55"/>
  <cols>
    <col min="1" max="1" width="2" customWidth="1"/>
    <col min="2" max="9" width="14" customWidth="1"/>
    <col min="10" max="10" width="2" customWidth="1"/>
  </cols>
  <sheetData>
    <row r="1" ht="56" customHeight="1" spans="2:9" x14ac:dyDescent="0.25">
      <c r="B1" s="1" t="s">
        <v>0</v>
      </c>
      <c r="C1" s="1"/>
      <c r="D1" s="1"/>
      <c r="E1" s="1"/>
      <c r="F1" s="1"/>
      <c r="G1" s="1"/>
      <c r="H1" s="1"/>
      <c r="I1" s="1"/>
    </row>
    <row r="2" ht="20" customHeight="1" spans="2:9" x14ac:dyDescent="0.25">
      <c r="B2" s="2" t="s">
        <v>1</v>
      </c>
      <c r="C2" s="2"/>
      <c r="D2" s="2"/>
      <c r="E2" s="2"/>
      <c r="F2" s="2"/>
      <c r="G2" s="3" t="s">
        <v>2</v>
      </c>
      <c r="H2" s="3"/>
      <c r="I2" s="3"/>
    </row>
    <row r="3" ht="10" customHeight="1" x14ac:dyDescent="0.25"/>
    <row r="4" ht="22" customHeight="1" spans="2:9" x14ac:dyDescent="0.25">
      <c r="B4" s="4" t="s">
        <v>3</v>
      </c>
      <c r="C4" s="4"/>
      <c r="E4" s="4" t="s">
        <v>4</v>
      </c>
      <c r="F4" s="4"/>
      <c r="H4" s="4" t="s">
        <v>5</v>
      </c>
      <c r="I4" s="4"/>
    </row>
    <row r="5" ht="48" customHeight="1" spans="2:9" x14ac:dyDescent="0.25">
      <c r="B5" s="5">
        <f>'ARM Setup'!B17</f>
        <v>1878.88</v>
      </c>
      <c r="C5" s="5"/>
      <c r="E5" s="6">
        <f>'ARM Setup'!B16</f>
        <v>0.1</v>
      </c>
      <c r="F5" s="6"/>
      <c r="H5" s="7">
        <f>'ARM Setup'!B20</f>
        <v>458653.02</v>
      </c>
      <c r="I5" s="7"/>
    </row>
    <row r="6" ht="20" customHeight="1" spans="2:9" x14ac:dyDescent="0.25">
      <c r="B6" s="8" t="s">
        <v>6</v>
      </c>
      <c r="C6" s="8"/>
      <c r="E6" s="8" t="s">
        <v>7</v>
      </c>
      <c r="F6" s="8"/>
      <c r="H6" s="8" t="s">
        <v>8</v>
      </c>
      <c r="I6" s="8"/>
    </row>
    <row r="7" ht="8" customHeight="1" x14ac:dyDescent="0.25"/>
    <row r="8" ht="22" customHeight="1" spans="2:9" x14ac:dyDescent="0.25">
      <c r="B8" s="4" t="s">
        <v>9</v>
      </c>
      <c r="C8" s="4"/>
      <c r="E8" s="4" t="s">
        <v>10</v>
      </c>
      <c r="F8" s="4"/>
      <c r="H8" s="4" t="s">
        <v>11</v>
      </c>
      <c r="I8" s="4"/>
    </row>
    <row r="9" ht="48" customHeight="1" spans="2:9" x14ac:dyDescent="0.25">
      <c r="B9" s="9">
        <f>'ARM Setup'!B21</f>
        <v>808653.02</v>
      </c>
      <c r="C9" s="9"/>
      <c r="E9" s="7">
        <f>'ARM Setup'!B23</f>
        <v>972116.1</v>
      </c>
      <c r="F9" s="7"/>
      <c r="H9" s="9">
        <f>'ARM Setup'!B18</f>
        <v>326396.8</v>
      </c>
      <c r="I9" s="9"/>
    </row>
    <row r="10" ht="20" customHeight="1" spans="2:9" x14ac:dyDescent="0.25">
      <c r="B10" s="8" t="s">
        <v>12</v>
      </c>
      <c r="C10" s="8"/>
      <c r="E10" s="8" t="s">
        <v>13</v>
      </c>
      <c r="F10" s="8"/>
      <c r="H10" s="8" t="s">
        <v>14</v>
      </c>
      <c r="I10" s="8"/>
    </row>
    <row r="11" ht="14" customHeight="1" x14ac:dyDescent="0.25"/>
    <row r="12" ht="28" customHeight="1" spans="2:9" x14ac:dyDescent="0.25">
      <c r="B12" s="10" t="s">
        <v>15</v>
      </c>
      <c r="C12" s="11"/>
      <c r="D12" s="11"/>
      <c r="E12" s="11"/>
      <c r="F12" s="11"/>
      <c r="G12" s="11"/>
      <c r="H12" s="11"/>
      <c r="I12" s="11"/>
    </row>
    <row r="13" ht="18" customHeight="1" x14ac:dyDescent="0.25"/>
    <row r="14" ht="18" customHeight="1" x14ac:dyDescent="0.25"/>
    <row r="15" ht="18" customHeight="1" x14ac:dyDescent="0.25"/>
    <row r="16" ht="18" customHeight="1" x14ac:dyDescent="0.25"/>
    <row r="17" ht="18" customHeight="1" x14ac:dyDescent="0.25"/>
    <row r="18" ht="18" customHeight="1" x14ac:dyDescent="0.25"/>
    <row r="19" ht="18" customHeight="1" x14ac:dyDescent="0.25"/>
    <row r="20" ht="18" customHeight="1" x14ac:dyDescent="0.25"/>
    <row r="21" ht="18" customHeight="1" x14ac:dyDescent="0.25"/>
    <row r="22" ht="18" customHeight="1" x14ac:dyDescent="0.25"/>
    <row r="23" ht="18" customHeight="1" x14ac:dyDescent="0.25"/>
    <row r="24" ht="18" customHeight="1" x14ac:dyDescent="0.25"/>
    <row r="25" ht="18" customHeight="1" x14ac:dyDescent="0.25"/>
    <row r="26" ht="18" customHeight="1" x14ac:dyDescent="0.25"/>
    <row r="27" ht="18" customHeight="1" x14ac:dyDescent="0.25"/>
    <row r="28" ht="14" customHeight="1" x14ac:dyDescent="0.25"/>
    <row r="29" ht="6" customHeight="1" x14ac:dyDescent="0.25"/>
    <row r="30" ht="20" customHeight="1" spans="1:9" x14ac:dyDescent="0.25">
      <c r="A30" s="12" t="s">
        <v>16</v>
      </c>
      <c r="B30" s="12"/>
      <c r="C30" s="12"/>
      <c r="D30" s="12"/>
      <c r="E30" s="12"/>
      <c r="F30" s="12"/>
      <c r="G30" s="12"/>
      <c r="H30" s="12"/>
      <c r="I30" s="12"/>
    </row>
    <row r="31" ht="20" customHeight="1" spans="1:9" x14ac:dyDescent="0.25">
      <c r="A31" s="13" t="s">
        <v>17</v>
      </c>
      <c r="B31" s="13"/>
      <c r="C31" s="13"/>
      <c r="D31" s="13"/>
      <c r="E31" s="13"/>
      <c r="F31" s="13"/>
      <c r="G31" s="13"/>
      <c r="H31" s="13"/>
      <c r="I31" s="13"/>
    </row>
    <row r="32" ht="1" customHeight="1" spans="2:32" x14ac:dyDescent="0.25">
      <c r="B32" s="14" t="s">
        <v>18</v>
      </c>
      <c r="C32" s="14" t="s">
        <v>19</v>
      </c>
      <c r="D32" s="14" t="s">
        <v>20</v>
      </c>
      <c r="E32" s="14" t="s">
        <v>21</v>
      </c>
      <c r="F32" s="14" t="s">
        <v>22</v>
      </c>
      <c r="G32" s="14" t="s">
        <v>23</v>
      </c>
      <c r="H32" s="14" t="s">
        <v>24</v>
      </c>
      <c r="I32" s="14" t="s">
        <v>25</v>
      </c>
      <c r="J32" s="14" t="s">
        <v>26</v>
      </c>
      <c r="K32" s="14" t="s">
        <v>27</v>
      </c>
      <c r="L32" s="14" t="s">
        <v>28</v>
      </c>
      <c r="M32" s="14" t="s">
        <v>29</v>
      </c>
      <c r="N32" s="14" t="s">
        <v>30</v>
      </c>
      <c r="O32" s="14" t="s">
        <v>31</v>
      </c>
      <c r="P32" s="14" t="s">
        <v>32</v>
      </c>
      <c r="Q32" s="14" t="s">
        <v>33</v>
      </c>
      <c r="R32" s="14" t="s">
        <v>34</v>
      </c>
      <c r="S32" s="14" t="s">
        <v>35</v>
      </c>
      <c r="T32" s="14" t="s">
        <v>36</v>
      </c>
      <c r="U32" s="14" t="s">
        <v>37</v>
      </c>
      <c r="V32" s="14" t="s">
        <v>38</v>
      </c>
      <c r="W32" s="14" t="s">
        <v>39</v>
      </c>
      <c r="X32" s="14" t="s">
        <v>40</v>
      </c>
      <c r="Y32" s="14" t="s">
        <v>41</v>
      </c>
      <c r="Z32" s="14" t="s">
        <v>42</v>
      </c>
      <c r="AA32" s="14" t="s">
        <v>43</v>
      </c>
      <c r="AB32" s="14" t="s">
        <v>44</v>
      </c>
      <c r="AC32" s="14" t="s">
        <v>45</v>
      </c>
      <c r="AD32" s="14" t="s">
        <v>46</v>
      </c>
      <c r="AE32" s="14" t="s">
        <v>47</v>
      </c>
      <c r="AF32" s="14" t="s">
        <v>48</v>
      </c>
    </row>
    <row r="33" ht="1" customHeight="1" spans="2:32" x14ac:dyDescent="0.25">
      <c r="B33" s="14" t="s">
        <v>49</v>
      </c>
      <c r="C33" s="14">
        <f>IFERROR('Rate Schedule'!D5,0)</f>
        <v>1878.88</v>
      </c>
      <c r="D33" s="14">
        <f>IFERROR('Rate Schedule'!D6,0)</f>
        <v>1878.88</v>
      </c>
      <c r="E33" s="14">
        <f>IFERROR('Rate Schedule'!D7,0)</f>
        <v>1878.88</v>
      </c>
      <c r="F33" s="14">
        <f>IFERROR('Rate Schedule'!D8,0)</f>
        <v>1878.87</v>
      </c>
      <c r="G33" s="14">
        <f>IFERROR('Rate Schedule'!D9,0)</f>
        <v>1878.88</v>
      </c>
      <c r="H33" s="14">
        <f>IFERROR('Rate Schedule'!D10,0)</f>
        <v>2271.59</v>
      </c>
      <c r="I33" s="14">
        <f>IFERROR('Rate Schedule'!D11,0)</f>
        <v>2321.74</v>
      </c>
      <c r="J33" s="14">
        <f>IFERROR('Rate Schedule'!D12,0)</f>
        <v>2321.74</v>
      </c>
      <c r="K33" s="14">
        <f>IFERROR('Rate Schedule'!D13,0)</f>
        <v>2321.74</v>
      </c>
      <c r="L33" s="14">
        <f>IFERROR('Rate Schedule'!D14,0)</f>
        <v>2321.74</v>
      </c>
      <c r="M33" s="14">
        <f>IFERROR('Rate Schedule'!D15,0)</f>
        <v>2321.74</v>
      </c>
      <c r="N33" s="14">
        <f>IFERROR('Rate Schedule'!D16,0)</f>
        <v>2321.74</v>
      </c>
      <c r="O33" s="14">
        <f>IFERROR('Rate Schedule'!D17,0)</f>
        <v>2321.74</v>
      </c>
      <c r="P33" s="14">
        <f>IFERROR('Rate Schedule'!D18,0)</f>
        <v>2321.74</v>
      </c>
      <c r="Q33" s="14">
        <f>IFERROR('Rate Schedule'!D19,0)</f>
        <v>2321.74</v>
      </c>
      <c r="R33" s="14">
        <f>IFERROR('Rate Schedule'!D20,0)</f>
        <v>2321.74</v>
      </c>
      <c r="S33" s="14">
        <f>IFERROR('Rate Schedule'!D21,0)</f>
        <v>2321.74</v>
      </c>
      <c r="T33" s="14">
        <f>IFERROR('Rate Schedule'!D22,0)</f>
        <v>2321.74</v>
      </c>
      <c r="U33" s="14">
        <f>IFERROR('Rate Schedule'!D23,0)</f>
        <v>2321.74</v>
      </c>
      <c r="V33" s="14">
        <f>IFERROR('Rate Schedule'!D24,0)</f>
        <v>2321.74</v>
      </c>
      <c r="W33" s="14">
        <f>IFERROR('Rate Schedule'!D25,0)</f>
        <v>2321.74</v>
      </c>
      <c r="X33" s="14">
        <f>IFERROR('Rate Schedule'!D26,0)</f>
        <v>2321.74</v>
      </c>
      <c r="Y33" s="14">
        <f>IFERROR('Rate Schedule'!D27,0)</f>
        <v>2321.74</v>
      </c>
      <c r="Z33" s="14">
        <f>IFERROR('Rate Schedule'!D28,0)</f>
        <v>2321.74</v>
      </c>
      <c r="AA33" s="14">
        <f>IFERROR('Rate Schedule'!D29,0)</f>
        <v>2321.74</v>
      </c>
      <c r="AB33" s="14">
        <f>IFERROR('Rate Schedule'!D30,0)</f>
        <v>2321.74</v>
      </c>
      <c r="AC33" s="14">
        <f>IFERROR('Rate Schedule'!D31,0)</f>
        <v>2321.74</v>
      </c>
      <c r="AD33" s="14">
        <f>IFERROR('Rate Schedule'!D32,0)</f>
        <v>2321.74</v>
      </c>
      <c r="AE33" s="14">
        <f>IFERROR('Rate Schedule'!D33,0)</f>
        <v>2321.75</v>
      </c>
      <c r="AF33" s="14">
        <f>IFERROR('Rate Schedule'!D34,0)</f>
        <v>2321.74</v>
      </c>
    </row>
  </sheetData>
  <sheetProtection sheet="1"/>
  <mergeCells count="23">
    <mergeCell ref="B1:I1"/>
    <mergeCell ref="B2:F2"/>
    <mergeCell ref="G2:I2"/>
    <mergeCell ref="B4:C4"/>
    <mergeCell ref="E4:F4"/>
    <mergeCell ref="H4:I4"/>
    <mergeCell ref="B5:C5"/>
    <mergeCell ref="E5:F5"/>
    <mergeCell ref="H5:I5"/>
    <mergeCell ref="B6:C6"/>
    <mergeCell ref="E6:F6"/>
    <mergeCell ref="H6:I6"/>
    <mergeCell ref="B8:C8"/>
    <mergeCell ref="E8:F8"/>
    <mergeCell ref="H8:I8"/>
    <mergeCell ref="B9:C9"/>
    <mergeCell ref="E9:F9"/>
    <mergeCell ref="H9:I9"/>
    <mergeCell ref="B10:C10"/>
    <mergeCell ref="E10:F10"/>
    <mergeCell ref="H10:I10"/>
    <mergeCell ref="A30:I30"/>
    <mergeCell ref="A31:I31"/>
  </mergeCells>
  <hyperlinks>
    <hyperlink ref="G2" r:id="rId1"/>
    <hyperlink ref="A31" r:id="rId2"/>
  </hyperlinks>
  <pageMargins left="0.5" right="0.5" top="0.5" bottom="0.5" header="0.3" footer="0.3"/>
  <pageSetup paperSize="1" orientation="landscape" fitToWidth="1" fitToHeight="0"/>
  <headerFooter>
    <oddFooter>&amp;L&amp;8FinancialAha.com&amp;C&amp;8Page &amp;P of &amp;N&amp;R&amp;8&amp;D</oddFooter>
  </headerFooter>
  <drawing r:id="rIdDrawing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2C3E6B"/>
    <pageSetUpPr fitToPage="1"/>
  </sheetPr>
  <dimension ref="A1:C30"/>
  <sheetViews>
    <sheetView workbookViewId="0" showGridLines="0" zoomScale="125"/>
  </sheetViews>
  <sheetFormatPr defaultRowHeight="15" outlineLevelRow="0" outlineLevelCol="0" x14ac:dyDescent="55"/>
  <cols>
    <col min="1" max="1" width="32" customWidth="1"/>
    <col min="2" max="2" width="20" customWidth="1"/>
    <col min="3" max="3" width="34" customWidth="1"/>
  </cols>
  <sheetData>
    <row r="1" ht="48" customHeight="1" spans="1:3" x14ac:dyDescent="0.25">
      <c r="A1" s="15" t="s">
        <v>50</v>
      </c>
      <c r="B1" s="15"/>
      <c r="C1" s="15"/>
    </row>
    <row r="2" ht="24" customHeight="1" spans="1:3" x14ac:dyDescent="0.25">
      <c r="A2" s="16" t="s">
        <v>51</v>
      </c>
      <c r="B2" s="16"/>
      <c r="C2" s="16"/>
    </row>
    <row r="3" ht="14" customHeight="1" x14ac:dyDescent="0.25"/>
    <row r="4" ht="28" customHeight="1" spans="1:3" x14ac:dyDescent="0.25">
      <c r="A4" s="10" t="s">
        <v>52</v>
      </c>
      <c r="B4" s="11"/>
      <c r="C4" s="11"/>
    </row>
    <row r="5" ht="26" customHeight="1" spans="1:3" x14ac:dyDescent="0.25">
      <c r="A5" s="17" t="s">
        <v>53</v>
      </c>
      <c r="B5" s="18">
        <v>350000</v>
      </c>
      <c r="C5" s="16" t="s">
        <v>54</v>
      </c>
    </row>
    <row r="6" ht="26" customHeight="1" spans="1:3" x14ac:dyDescent="0.25">
      <c r="A6" s="17" t="s">
        <v>55</v>
      </c>
      <c r="B6" s="19">
        <v>0.05</v>
      </c>
      <c r="C6" s="16" t="s">
        <v>56</v>
      </c>
    </row>
    <row r="7" ht="26" customHeight="1" spans="1:3" x14ac:dyDescent="0.25">
      <c r="A7" s="17" t="s">
        <v>57</v>
      </c>
      <c r="B7" s="20">
        <v>5</v>
      </c>
      <c r="C7" s="16" t="s">
        <v>58</v>
      </c>
    </row>
    <row r="8" ht="26" customHeight="1" spans="1:3" x14ac:dyDescent="0.25">
      <c r="A8" s="17" t="s">
        <v>59</v>
      </c>
      <c r="B8" s="20">
        <v>30</v>
      </c>
      <c r="C8" s="16" t="s">
        <v>60</v>
      </c>
    </row>
    <row r="9" ht="26" customHeight="1" spans="1:3" x14ac:dyDescent="0.25">
      <c r="A9" s="17" t="s">
        <v>61</v>
      </c>
      <c r="B9" s="21">
        <v>46023</v>
      </c>
      <c r="C9" s="16" t="s">
        <v>62</v>
      </c>
    </row>
    <row r="10" ht="14" customHeight="1" x14ac:dyDescent="0.25"/>
    <row r="11" ht="28" customHeight="1" spans="1:3" x14ac:dyDescent="0.25">
      <c r="A11" s="10" t="s">
        <v>63</v>
      </c>
      <c r="B11" s="22"/>
      <c r="C11" s="11"/>
    </row>
    <row r="12" ht="26" customHeight="1" spans="1:3" x14ac:dyDescent="0.25">
      <c r="A12" s="17" t="s">
        <v>64</v>
      </c>
      <c r="B12" s="19">
        <v>0.02</v>
      </c>
      <c r="C12" s="16" t="s">
        <v>65</v>
      </c>
    </row>
    <row r="13" ht="26" customHeight="1" spans="1:3" x14ac:dyDescent="0.25">
      <c r="A13" s="17" t="s">
        <v>66</v>
      </c>
      <c r="B13" s="19">
        <v>0.05</v>
      </c>
      <c r="C13" s="16" t="s">
        <v>67</v>
      </c>
    </row>
    <row r="14" ht="26" customHeight="1" spans="1:3" x14ac:dyDescent="0.25">
      <c r="A14" s="17" t="s">
        <v>68</v>
      </c>
      <c r="B14" s="19">
        <v>0.045</v>
      </c>
      <c r="C14" s="16" t="s">
        <v>69</v>
      </c>
    </row>
    <row r="15" ht="26" customHeight="1" spans="1:3" x14ac:dyDescent="0.25">
      <c r="A15" s="17" t="s">
        <v>70</v>
      </c>
      <c r="B15" s="23">
        <v>0.0275</v>
      </c>
      <c r="C15" s="16" t="s">
        <v>71</v>
      </c>
    </row>
    <row r="16" ht="14" customHeight="1" x14ac:dyDescent="0.25"/>
    <row r="17" ht="28" customHeight="1" spans="1:3" x14ac:dyDescent="0.25">
      <c r="A17" s="10" t="s">
        <v>72</v>
      </c>
      <c r="B17" s="11"/>
      <c r="C17" s="11"/>
    </row>
    <row r="18" ht="26" customHeight="1" spans="1:2" x14ac:dyDescent="0.25">
      <c r="A18" s="17" t="s">
        <v>73</v>
      </c>
      <c r="B18" s="24">
        <f>B6+B12</f>
        <v>0.1</v>
      </c>
    </row>
    <row r="19" ht="24" customHeight="1" spans="1:2" x14ac:dyDescent="0.25">
      <c r="A19" s="17" t="s">
        <v>74</v>
      </c>
      <c r="B19" s="25">
        <f>IF(B6=0,B5/(B8*12),ROUND(B5*(B6/12*(1+B6/12)^(B8*12))/((1+B6/12)^(B8*12)-1),2))</f>
        <v>1878.88</v>
      </c>
    </row>
    <row r="20" ht="26" customHeight="1" spans="1:2" x14ac:dyDescent="0.25">
      <c r="A20" s="17" t="s">
        <v>75</v>
      </c>
      <c r="B20" s="26">
        <f>ROUND(B17*B8*12-B5,2)</f>
        <v>326396.8</v>
      </c>
    </row>
    <row r="21" ht="14" customHeight="1" x14ac:dyDescent="0.25"/>
    <row r="22" ht="28" customHeight="1" spans="1:3" x14ac:dyDescent="0.25">
      <c r="A22" s="10" t="s">
        <v>76</v>
      </c>
      <c r="B22" s="11"/>
      <c r="C22" s="11"/>
    </row>
    <row r="23" ht="26" customHeight="1" spans="1:2" x14ac:dyDescent="0.25">
      <c r="A23" s="17" t="s">
        <v>77</v>
      </c>
      <c r="B23" s="26">
        <f>IFERROR(SUM('Rate Schedule'!F5:F34),0)</f>
        <v>458653.02</v>
      </c>
    </row>
    <row r="24" ht="26" customHeight="1" spans="1:2" x14ac:dyDescent="0.25">
      <c r="A24" s="17" t="s">
        <v>78</v>
      </c>
      <c r="B24" s="27">
        <f>B5+B20</f>
        <v>808653.02</v>
      </c>
    </row>
    <row r="25" ht="26" customHeight="1" spans="1:2" x14ac:dyDescent="0.25">
      <c r="A25" s="17" t="s">
        <v>79</v>
      </c>
      <c r="B25" s="26">
        <f>IFERROR(SUM('Rate Schedule'!H5:H34),0)</f>
        <v>622116.1</v>
      </c>
    </row>
    <row r="26" ht="24" customHeight="1" spans="1:2" x14ac:dyDescent="0.25">
      <c r="A26" s="17" t="s">
        <v>80</v>
      </c>
      <c r="B26" s="28">
        <f>B5+B22</f>
        <v>972116.1</v>
      </c>
    </row>
    <row r="27" ht="14" customHeight="1" x14ac:dyDescent="0.25"/>
    <row r="28" ht="6" customHeight="1" x14ac:dyDescent="0.25"/>
    <row r="29" ht="20" customHeight="1" spans="1:3" x14ac:dyDescent="0.25">
      <c r="A29" s="12" t="s">
        <v>16</v>
      </c>
      <c r="B29" s="12"/>
      <c r="C29" s="12"/>
    </row>
    <row r="30" ht="20" customHeight="1" spans="1:3" x14ac:dyDescent="0.25">
      <c r="A30" s="13" t="s">
        <v>17</v>
      </c>
      <c r="B30" s="13"/>
      <c r="C30" s="13"/>
    </row>
  </sheetData>
  <sheetProtection sheet="1"/>
  <mergeCells count="4">
    <mergeCell ref="A1:C1"/>
    <mergeCell ref="A2:C2"/>
    <mergeCell ref="A29:C29"/>
    <mergeCell ref="A30:C30"/>
  </mergeCells>
  <hyperlinks>
    <hyperlink ref="A30" r:id="rId1"/>
  </hyperlinks>
  <pageMargins left="0.5" right="0.5" top="0.5" bottom="0.5" header="0.3" footer="0.3"/>
  <pageSetup paperSize="1" orientation="portrait" fitToWidth="1" fitToHeight="0"/>
  <headerFooter>
    <oddFooter>&amp;L&amp;8FinancialAha.com&amp;C&amp;8Page &amp;P of &amp;N&amp;R&amp;8&amp;D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2C3E6B"/>
    <pageSetUpPr fitToPage="1"/>
  </sheetPr>
  <dimension ref="A1:H38"/>
  <sheetViews>
    <sheetView workbookViewId="0" showGridLines="0" zoomScale="100">
      <pane ySplit="4" topLeftCell="A5" activePane="bottomLeft" state="frozen"/>
      <selection pane="bottomLeft"/>
    </sheetView>
  </sheetViews>
  <sheetFormatPr defaultRowHeight="15" outlineLevelRow="0" outlineLevelCol="0" x14ac:dyDescent="55"/>
  <cols>
    <col min="1" max="1" width="8" customWidth="1"/>
    <col min="2" max="3" width="12" customWidth="1"/>
    <col min="4" max="8" width="16" customWidth="1"/>
  </cols>
  <sheetData>
    <row r="1" ht="48" customHeight="1" spans="1:8" x14ac:dyDescent="0.25">
      <c r="A1" s="15" t="s">
        <v>81</v>
      </c>
      <c r="B1" s="15"/>
      <c r="C1" s="15"/>
      <c r="D1" s="15"/>
      <c r="E1" s="15"/>
      <c r="F1" s="15"/>
      <c r="G1" s="15"/>
      <c r="H1" s="15"/>
    </row>
    <row r="2" ht="24" customHeight="1" spans="1:8" x14ac:dyDescent="0.25">
      <c r="A2" s="16" t="s">
        <v>82</v>
      </c>
      <c r="B2" s="16"/>
      <c r="C2" s="16"/>
      <c r="D2" s="16"/>
      <c r="E2" s="16"/>
      <c r="F2" s="16"/>
      <c r="G2" s="16"/>
      <c r="H2" s="16"/>
    </row>
    <row r="3" ht="14" customHeight="1" x14ac:dyDescent="0.25"/>
    <row r="4" ht="32" customHeight="1" spans="1:8" x14ac:dyDescent="0.25">
      <c r="A4" s="29" t="s">
        <v>83</v>
      </c>
      <c r="B4" s="30" t="s">
        <v>84</v>
      </c>
      <c r="C4" s="30" t="s">
        <v>85</v>
      </c>
      <c r="D4" s="30" t="s">
        <v>86</v>
      </c>
      <c r="E4" s="30" t="s">
        <v>87</v>
      </c>
      <c r="F4" s="30" t="s">
        <v>88</v>
      </c>
      <c r="G4" s="30" t="s">
        <v>89</v>
      </c>
      <c r="H4" s="30" t="s">
        <v>90</v>
      </c>
    </row>
    <row r="5" ht="26" customHeight="1" spans="1:8" x14ac:dyDescent="0.25">
      <c r="A5" s="31">
        <v>1</v>
      </c>
      <c r="B5" s="32">
        <f>DATE(YEAR('ARM Setup'!B9)+0,MONTH('ARM Setup'!B9),1)</f>
        <v>46023</v>
      </c>
      <c r="C5" s="33">
        <f>'ARM Setup'!B6</f>
        <v>0.05</v>
      </c>
      <c r="D5" s="34">
        <f>IF(C5=0,'ARM Setup'!B5/(('ARM Setup'!B8-1+1)*12),ROUND('ARM Setup'!B5*(C5/12*(1+C5/12)^(('ARM Setup'!B8-1+1)*12))/((1+C5/12)^(('ARM Setup'!B8-1+1)*12)-1),2))</f>
        <v>1878.88</v>
      </c>
      <c r="E5" s="34">
        <f>D5*12</f>
        <v>22546.56</v>
      </c>
      <c r="F5" s="34">
        <f>IF('ARM Setup'!B5&lt;=0,0,D5*12-('ARM Setup'!B5-G5))</f>
        <v>17382.72</v>
      </c>
      <c r="G5" s="34">
        <f>IF(C5=0,MAX('ARM Setup'!B5-D5*12,0),IF('ARM Setup'!B5&lt;=0,0,MAX(ROUND('ARM Setup'!B5*(1+C5/12)^12-D5*((1+C5/12)^12-1)/(C5/12),2),0)))</f>
        <v>344836.16</v>
      </c>
      <c r="H5" s="34">
        <v>17382.72</v>
      </c>
    </row>
    <row r="6" ht="26" customHeight="1" spans="1:8" x14ac:dyDescent="0.25">
      <c r="A6" s="35">
        <v>2</v>
      </c>
      <c r="B6" s="36">
        <f>DATE(YEAR('ARM Setup'!B9)+1,MONTH('ARM Setup'!B9),1)</f>
        <v>46388</v>
      </c>
      <c r="C6" s="37">
        <f>IF(2&lt;='ARM Setup'!B7,'ARM Setup'!B6,MIN(MAX(MIN('ARM Setup'!B13+'ARM Setup'!B14,C5+'ARM Setup'!B11),MAX(C5-'ARM Setup'!B11,0)),'ARM Setup'!B6+'ARM Setup'!B12))</f>
        <v>0.05</v>
      </c>
      <c r="D6" s="38">
        <f>IF(G5&lt;=0,0,IF(C6=0,G5/(('ARM Setup'!B8-2+1)*12),ROUND(G5*(C6/12*(1+C6/12)^(('ARM Setup'!B8-2+1)*12))/((1+C6/12)^(('ARM Setup'!B8-2+1)*12)-1),2)))</f>
        <v>1878.88</v>
      </c>
      <c r="E6" s="38">
        <f>D6*12</f>
        <v>22546.56</v>
      </c>
      <c r="F6" s="38">
        <f>IF(G5&lt;=0,0,D6*12-(G5-G6))</f>
        <v>17118.55</v>
      </c>
      <c r="G6" s="38">
        <f>IF(C6=0,MAX(G5-D6*12,0),IF(G5&lt;=0,0,MAX(ROUND(G5*(1+C6/12)^12-D6*((1+C6/12)^12-1)/(C6/12),2),0)))</f>
        <v>339408.15</v>
      </c>
      <c r="H6" s="38">
        <v>17118.55</v>
      </c>
    </row>
    <row r="7" ht="26" customHeight="1" spans="1:8" x14ac:dyDescent="0.25">
      <c r="A7" s="31">
        <v>3</v>
      </c>
      <c r="B7" s="32">
        <f>DATE(YEAR('ARM Setup'!B9)+2,MONTH('ARM Setup'!B9),1)</f>
        <v>46753</v>
      </c>
      <c r="C7" s="33">
        <f>IF(3&lt;='ARM Setup'!B7,'ARM Setup'!B6,MIN(MAX(MIN('ARM Setup'!B13+'ARM Setup'!B14,C6+'ARM Setup'!B11),MAX(C6-'ARM Setup'!B11,0)),'ARM Setup'!B6+'ARM Setup'!B12))</f>
        <v>0.05</v>
      </c>
      <c r="D7" s="34">
        <f>IF(G6&lt;=0,0,IF(C7=0,G6/(('ARM Setup'!B8-3+1)*12),ROUND(G6*(C7/12*(1+C7/12)^(('ARM Setup'!B8-3+1)*12))/((1+C7/12)^(('ARM Setup'!B8-3+1)*12)-1),2)))</f>
        <v>1878.88</v>
      </c>
      <c r="E7" s="34">
        <f>D7*12</f>
        <v>22546.56</v>
      </c>
      <c r="F7" s="34">
        <f>IF(G6&lt;=0,0,D7*12-(G6-G7))</f>
        <v>16840.819999999996</v>
      </c>
      <c r="G7" s="34">
        <f>IF(C7=0,MAX(G6-D7*12,0),IF(G6&lt;=0,0,MAX(ROUND(G6*(1+C7/12)^12-D7*((1+C7/12)^12-1)/(C7/12),2),0)))</f>
        <v>333702.41</v>
      </c>
      <c r="H7" s="34">
        <v>16840.82</v>
      </c>
    </row>
    <row r="8" ht="26" customHeight="1" spans="1:8" x14ac:dyDescent="0.25">
      <c r="A8" s="35">
        <v>4</v>
      </c>
      <c r="B8" s="36">
        <f>DATE(YEAR('ARM Setup'!B9)+3,MONTH('ARM Setup'!B9),1)</f>
        <v>47119</v>
      </c>
      <c r="C8" s="37">
        <f>IF(4&lt;='ARM Setup'!B7,'ARM Setup'!B6,MIN(MAX(MIN('ARM Setup'!B13+'ARM Setup'!B14,C7+'ARM Setup'!B11),MAX(C7-'ARM Setup'!B11,0)),'ARM Setup'!B6+'ARM Setup'!B12))</f>
        <v>0.05</v>
      </c>
      <c r="D8" s="38">
        <f>IF(G7&lt;=0,0,IF(C8=0,G7/(('ARM Setup'!B8-4+1)*12),ROUND(G7*(C8/12*(1+C8/12)^(('ARM Setup'!B8-4+1)*12))/((1+C8/12)^(('ARM Setup'!B8-4+1)*12)-1),2)))</f>
        <v>1878.87</v>
      </c>
      <c r="E8" s="38">
        <f>D8*12</f>
        <v>22546.44</v>
      </c>
      <c r="F8" s="38">
        <f>IF(G7&lt;=0,0,D8*12-(G7-G8))</f>
        <v>16548.940000000002</v>
      </c>
      <c r="G8" s="38">
        <f>IF(C8=0,MAX(G7-D8*12,0),IF(G7&lt;=0,0,MAX(ROUND(G7*(1+C8/12)^12-D8*((1+C8/12)^12-1)/(C8/12),2),0)))</f>
        <v>327704.91</v>
      </c>
      <c r="H8" s="38">
        <v>16548.94</v>
      </c>
    </row>
    <row r="9" ht="26" customHeight="1" spans="1:8" x14ac:dyDescent="0.25">
      <c r="A9" s="31">
        <v>5</v>
      </c>
      <c r="B9" s="32">
        <f>DATE(YEAR('ARM Setup'!B9)+4,MONTH('ARM Setup'!B9),1)</f>
        <v>47484</v>
      </c>
      <c r="C9" s="33">
        <f>IF(5&lt;='ARM Setup'!B7,'ARM Setup'!B6,MIN(MAX(MIN('ARM Setup'!B13+'ARM Setup'!B14,C8+'ARM Setup'!B11),MAX(C8-'ARM Setup'!B11,0)),'ARM Setup'!B6+'ARM Setup'!B12))</f>
        <v>0.05</v>
      </c>
      <c r="D9" s="34">
        <f>IF(G8&lt;=0,0,IF(C9=0,G8/(('ARM Setup'!B8-5+1)*12),ROUND(G8*(C9/12*(1+C9/12)^(('ARM Setup'!B8-5+1)*12))/((1+C9/12)^(('ARM Setup'!B8-5+1)*12)-1),2)))</f>
        <v>1878.88</v>
      </c>
      <c r="E9" s="34">
        <f>D9*12</f>
        <v>22546.56</v>
      </c>
      <c r="F9" s="34">
        <f>IF(G8&lt;=0,0,D9*12-(G8-G9))</f>
        <v>16242.08</v>
      </c>
      <c r="G9" s="34">
        <f>IF(C9=0,MAX(G8-D9*12,0),IF(G8&lt;=0,0,MAX(ROUND(G8*(1+C9/12)^12-D9*((1+C9/12)^12-1)/(C9/12),2),0)))</f>
        <v>321400.43</v>
      </c>
      <c r="H9" s="34">
        <v>16242.08</v>
      </c>
    </row>
    <row r="10" ht="26" customHeight="1" spans="1:8" x14ac:dyDescent="0.25">
      <c r="A10" s="35">
        <v>6</v>
      </c>
      <c r="B10" s="36">
        <f>DATE(YEAR('ARM Setup'!B9)+5,MONTH('ARM Setup'!B9),1)</f>
        <v>47849</v>
      </c>
      <c r="C10" s="37">
        <f>IF(6&lt;='ARM Setup'!B7,'ARM Setup'!B6,MIN(MAX(MIN('ARM Setup'!B13+'ARM Setup'!B14,C9+'ARM Setup'!B11),MAX(C9-'ARM Setup'!B11,0)),'ARM Setup'!B6+'ARM Setup'!B12))</f>
        <v>0.07</v>
      </c>
      <c r="D10" s="38">
        <f>IF(G9&lt;=0,0,IF(C10=0,G9/(('ARM Setup'!B8-6+1)*12),ROUND(G9*(C10/12*(1+C10/12)^(('ARM Setup'!B8-6+1)*12))/((1+C10/12)^(('ARM Setup'!B8-6+1)*12)-1),2)))</f>
        <v>2271.59</v>
      </c>
      <c r="E10" s="38">
        <f>D10*12</f>
        <v>27259.08</v>
      </c>
      <c r="F10" s="38">
        <f>IF(G9&lt;=0,0,D10*12-(G9-G10))</f>
        <v>22342.269999999997</v>
      </c>
      <c r="G10" s="38">
        <f>IF(C10=0,MAX(G9-D10*12,0),IF(G9&lt;=0,0,MAX(ROUND(G9*(1+C10/12)^12-D10*((1+C10/12)^12-1)/(C10/12),2),0)))</f>
        <v>316483.62</v>
      </c>
      <c r="H10" s="38">
        <v>22342.27</v>
      </c>
    </row>
    <row r="11" ht="26" customHeight="1" spans="1:8" x14ac:dyDescent="0.25">
      <c r="A11" s="31">
        <v>7</v>
      </c>
      <c r="B11" s="32">
        <f>DATE(YEAR('ARM Setup'!B9)+6,MONTH('ARM Setup'!B9),1)</f>
        <v>48214</v>
      </c>
      <c r="C11" s="33">
        <f>IF(7&lt;='ARM Setup'!B7,'ARM Setup'!B6,MIN(MAX(MIN('ARM Setup'!B13+'ARM Setup'!B14,C10+'ARM Setup'!B11),MAX(C10-'ARM Setup'!B11,0)),'ARM Setup'!B6+'ARM Setup'!B12))</f>
        <v>0.0725</v>
      </c>
      <c r="D11" s="34">
        <f>IF(G10&lt;=0,0,IF(C11=0,G10/(('ARM Setup'!B8-7+1)*12),ROUND(G10*(C11/12*(1+C11/12)^(('ARM Setup'!B8-7+1)*12))/((1+C11/12)^(('ARM Setup'!B8-7+1)*12)-1),2)))</f>
        <v>2321.74</v>
      </c>
      <c r="E11" s="34">
        <f>D11*12</f>
        <v>27860.879999999997</v>
      </c>
      <c r="F11" s="34">
        <f>IF(G10&lt;=0,0,D11*12-(G10-G11))</f>
        <v>22778.37</v>
      </c>
      <c r="G11" s="34">
        <f>IF(C11=0,MAX(G10-D11*12,0),IF(G10&lt;=0,0,MAX(ROUND(G10*(1+C11/12)^12-D11*((1+C11/12)^12-1)/(C11/12),2),0)))</f>
        <v>311401.11</v>
      </c>
      <c r="H11" s="34">
        <v>28325.04</v>
      </c>
    </row>
    <row r="12" ht="26" customHeight="1" spans="1:8" x14ac:dyDescent="0.25">
      <c r="A12" s="35">
        <v>8</v>
      </c>
      <c r="B12" s="36">
        <f>DATE(YEAR('ARM Setup'!B9)+7,MONTH('ARM Setup'!B9),1)</f>
        <v>48580</v>
      </c>
      <c r="C12" s="37">
        <f>IF(8&lt;='ARM Setup'!B7,'ARM Setup'!B6,MIN(MAX(MIN('ARM Setup'!B13+'ARM Setup'!B14,C11+'ARM Setup'!B11),MAX(C11-'ARM Setup'!B11,0)),'ARM Setup'!B6+'ARM Setup'!B12))</f>
        <v>0.0725</v>
      </c>
      <c r="D12" s="38">
        <f>IF(G11&lt;=0,0,IF(C12=0,G11/(('ARM Setup'!B8-8+1)*12),ROUND(G11*(C12/12*(1+C12/12)^(('ARM Setup'!B8-8+1)*12))/((1+C12/12)^(('ARM Setup'!B8-8+1)*12)-1),2)))</f>
        <v>2321.74</v>
      </c>
      <c r="E12" s="38">
        <f>D12*12</f>
        <v>27860.879999999997</v>
      </c>
      <c r="F12" s="38">
        <f>IF(G11&lt;=0,0,D12*12-(G11-G12))</f>
        <v>22397.4</v>
      </c>
      <c r="G12" s="38">
        <f>IF(C12=0,MAX(G11-D12*12,0),IF(G11&lt;=0,0,MAX(ROUND(G11*(1+C12/12)^12-D12*((1+C12/12)^12-1)/(C12/12),2),0)))</f>
        <v>305937.63</v>
      </c>
      <c r="H12" s="38">
        <v>31091.9</v>
      </c>
    </row>
    <row r="13" ht="26" customHeight="1" spans="1:8" x14ac:dyDescent="0.25">
      <c r="A13" s="31">
        <v>9</v>
      </c>
      <c r="B13" s="32">
        <f>DATE(YEAR('ARM Setup'!B9)+8,MONTH('ARM Setup'!B9),1)</f>
        <v>48945</v>
      </c>
      <c r="C13" s="33">
        <f>IF(9&lt;='ARM Setup'!B7,'ARM Setup'!B6,MIN(MAX(MIN('ARM Setup'!B13+'ARM Setup'!B14,C12+'ARM Setup'!B11),MAX(C12-'ARM Setup'!B11,0)),'ARM Setup'!B6+'ARM Setup'!B12))</f>
        <v>0.0725</v>
      </c>
      <c r="D13" s="34">
        <f>IF(G12&lt;=0,0,IF(C13=0,G12/(('ARM Setup'!B8-9+1)*12),ROUND(G12*(C13/12*(1+C13/12)^(('ARM Setup'!B8-9+1)*12))/((1+C13/12)^(('ARM Setup'!B8-9+1)*12)-1),2)))</f>
        <v>2321.74</v>
      </c>
      <c r="E13" s="34">
        <f>D13*12</f>
        <v>27860.879999999997</v>
      </c>
      <c r="F13" s="34">
        <f>IF(G12&lt;=0,0,D13*12-(G12-G13))</f>
        <v>21987.86</v>
      </c>
      <c r="G13" s="34">
        <f>IF(C13=0,MAX(G12-D13*12,0),IF(G12&lt;=0,0,MAX(ROUND(G12*(1+C13/12)^12-D13*((1+C13/12)^12-1)/(C13/12),2),0)))</f>
        <v>300064.61</v>
      </c>
      <c r="H13" s="34">
        <v>30705.91</v>
      </c>
    </row>
    <row r="14" ht="26" customHeight="1" spans="1:8" x14ac:dyDescent="0.25">
      <c r="A14" s="35">
        <v>10</v>
      </c>
      <c r="B14" s="36">
        <f>DATE(YEAR('ARM Setup'!B9)+9,MONTH('ARM Setup'!B9),1)</f>
        <v>49310</v>
      </c>
      <c r="C14" s="37">
        <f>IF(10&lt;='ARM Setup'!B7,'ARM Setup'!B6,MIN(MAX(MIN('ARM Setup'!B13+'ARM Setup'!B14,C13+'ARM Setup'!B11),MAX(C13-'ARM Setup'!B11,0)),'ARM Setup'!B6+'ARM Setup'!B12))</f>
        <v>0.0725</v>
      </c>
      <c r="D14" s="38">
        <f>IF(G13&lt;=0,0,IF(C14=0,G13/(('ARM Setup'!B8-10+1)*12),ROUND(G13*(C14/12*(1+C14/12)^(('ARM Setup'!B8-10+1)*12))/((1+C14/12)^(('ARM Setup'!B8-10+1)*12)-1),2)))</f>
        <v>2321.74</v>
      </c>
      <c r="E14" s="38">
        <f>D14*12</f>
        <v>27860.879999999997</v>
      </c>
      <c r="F14" s="38">
        <f>IF(G13&lt;=0,0,D14*12-(G13-G14))</f>
        <v>21547.629999999997</v>
      </c>
      <c r="G14" s="38">
        <f>IF(C14=0,MAX(G13-D14*12,0),IF(G13&lt;=0,0,MAX(ROUND(G13*(1+C14/12)^12-D14*((1+C14/12)^12-1)/(C14/12),2),0)))</f>
        <v>293751.36</v>
      </c>
      <c r="H14" s="38">
        <v>30279.51</v>
      </c>
    </row>
    <row r="15" ht="26" customHeight="1" spans="1:8" x14ac:dyDescent="0.25">
      <c r="A15" s="31">
        <v>11</v>
      </c>
      <c r="B15" s="32">
        <f>DATE(YEAR('ARM Setup'!B9)+10,MONTH('ARM Setup'!B9),1)</f>
        <v>49675</v>
      </c>
      <c r="C15" s="33">
        <f>IF(11&lt;='ARM Setup'!B7,'ARM Setup'!B6,MIN(MAX(MIN('ARM Setup'!B13+'ARM Setup'!B14,C14+'ARM Setup'!B11),MAX(C14-'ARM Setup'!B11,0)),'ARM Setup'!B6+'ARM Setup'!B12))</f>
        <v>0.0725</v>
      </c>
      <c r="D15" s="34">
        <f>IF(G14&lt;=0,0,IF(C15=0,G14/(('ARM Setup'!B8-11+1)*12),ROUND(G14*(C15/12*(1+C15/12)^(('ARM Setup'!B8-11+1)*12))/((1+C15/12)^(('ARM Setup'!B8-11+1)*12)-1),2)))</f>
        <v>2321.74</v>
      </c>
      <c r="E15" s="34">
        <f>D15*12</f>
        <v>27860.879999999997</v>
      </c>
      <c r="F15" s="34">
        <f>IF(G14&lt;=0,0,D15*12-(G14-G15))</f>
        <v>21074.41</v>
      </c>
      <c r="G15" s="34">
        <f>IF(C15=0,MAX(G14-D15*12,0),IF(G14&lt;=0,0,MAX(ROUND(G14*(1+C15/12)^12-D15*((1+C15/12)^12-1)/(C15/12),2),0)))</f>
        <v>286964.89</v>
      </c>
      <c r="H15" s="34">
        <v>29808.47</v>
      </c>
    </row>
    <row r="16" ht="26" customHeight="1" spans="1:8" x14ac:dyDescent="0.25">
      <c r="A16" s="35">
        <v>12</v>
      </c>
      <c r="B16" s="36">
        <f>DATE(YEAR('ARM Setup'!B9)+11,MONTH('ARM Setup'!B9),1)</f>
        <v>50041</v>
      </c>
      <c r="C16" s="37">
        <f>IF(12&lt;='ARM Setup'!B7,'ARM Setup'!B6,MIN(MAX(MIN('ARM Setup'!B13+'ARM Setup'!B14,C15+'ARM Setup'!B11),MAX(C15-'ARM Setup'!B11,0)),'ARM Setup'!B6+'ARM Setup'!B12))</f>
        <v>0.0725</v>
      </c>
      <c r="D16" s="38">
        <f>IF(G15&lt;=0,0,IF(C16=0,G15/(('ARM Setup'!B8-12+1)*12),ROUND(G15*(C16/12*(1+C16/12)^(('ARM Setup'!B8-12+1)*12))/((1+C16/12)^(('ARM Setup'!B8-12+1)*12)-1),2)))</f>
        <v>2321.74</v>
      </c>
      <c r="E16" s="38">
        <f>D16*12</f>
        <v>27860.879999999997</v>
      </c>
      <c r="F16" s="38">
        <f>IF(G15&lt;=0,0,D16*12-(G15-G16))</f>
        <v>20565.710000000003</v>
      </c>
      <c r="G16" s="38">
        <f>IF(C16=0,MAX(G15-D16*12,0),IF(G15&lt;=0,0,MAX(ROUND(G15*(1+C16/12)^12-D16*((1+C16/12)^12-1)/(C16/12),2),0)))</f>
        <v>279669.72</v>
      </c>
      <c r="H16" s="38">
        <v>29288.05</v>
      </c>
    </row>
    <row r="17" ht="26" customHeight="1" spans="1:8" x14ac:dyDescent="0.25">
      <c r="A17" s="31">
        <v>13</v>
      </c>
      <c r="B17" s="32">
        <f>DATE(YEAR('ARM Setup'!B9)+12,MONTH('ARM Setup'!B9),1)</f>
        <v>50406</v>
      </c>
      <c r="C17" s="33">
        <f>IF(13&lt;='ARM Setup'!B7,'ARM Setup'!B6,MIN(MAX(MIN('ARM Setup'!B13+'ARM Setup'!B14,C16+'ARM Setup'!B11),MAX(C16-'ARM Setup'!B11,0)),'ARM Setup'!B6+'ARM Setup'!B12))</f>
        <v>0.0725</v>
      </c>
      <c r="D17" s="34">
        <f>IF(G16&lt;=0,0,IF(C17=0,G16/(('ARM Setup'!B8-13+1)*12),ROUND(G16*(C17/12*(1+C17/12)^(('ARM Setup'!B8-13+1)*12))/((1+C17/12)^(('ARM Setup'!B8-13+1)*12)-1),2)))</f>
        <v>2321.74</v>
      </c>
      <c r="E17" s="34">
        <f>D17*12</f>
        <v>27860.879999999997</v>
      </c>
      <c r="F17" s="34">
        <f>IF(G16&lt;=0,0,D17*12-(G16-G17))</f>
        <v>20018.88</v>
      </c>
      <c r="G17" s="34">
        <f>IF(C17=0,MAX(G16-D17*12,0),IF(G16&lt;=0,0,MAX(ROUND(G16*(1+C17/12)^12-D17*((1+C17/12)^12-1)/(C17/12),2),0)))</f>
        <v>271827.72</v>
      </c>
      <c r="H17" s="34">
        <v>28713.2</v>
      </c>
    </row>
    <row r="18" ht="26" customHeight="1" spans="1:8" x14ac:dyDescent="0.25">
      <c r="A18" s="35">
        <v>14</v>
      </c>
      <c r="B18" s="36">
        <f>DATE(YEAR('ARM Setup'!B9)+13,MONTH('ARM Setup'!B9),1)</f>
        <v>50771</v>
      </c>
      <c r="C18" s="37">
        <f>IF(14&lt;='ARM Setup'!B7,'ARM Setup'!B6,MIN(MAX(MIN('ARM Setup'!B13+'ARM Setup'!B14,C17+'ARM Setup'!B11),MAX(C17-'ARM Setup'!B11,0)),'ARM Setup'!B6+'ARM Setup'!B12))</f>
        <v>0.0725</v>
      </c>
      <c r="D18" s="38">
        <f>IF(G17&lt;=0,0,IF(C18=0,G17/(('ARM Setup'!B8-14+1)*12),ROUND(G17*(C18/12*(1+C18/12)^(('ARM Setup'!B8-14+1)*12))/((1+C18/12)^(('ARM Setup'!B8-14+1)*12)-1),2)))</f>
        <v>2321.74</v>
      </c>
      <c r="E18" s="38">
        <f>D18*12</f>
        <v>27860.879999999997</v>
      </c>
      <c r="F18" s="38">
        <f>IF(G17&lt;=0,0,D18*12-(G17-G18))</f>
        <v>19431.050000000003</v>
      </c>
      <c r="G18" s="38">
        <f>IF(C18=0,MAX(G17-D18*12,0),IF(G17&lt;=0,0,MAX(ROUND(G17*(1+C18/12)^12-D18*((1+C18/12)^12-1)/(C18/12),2),0)))</f>
        <v>263397.89</v>
      </c>
      <c r="H18" s="38">
        <v>28078.15</v>
      </c>
    </row>
    <row r="19" ht="26" customHeight="1" spans="1:8" x14ac:dyDescent="0.25">
      <c r="A19" s="31">
        <v>15</v>
      </c>
      <c r="B19" s="32">
        <f>DATE(YEAR('ARM Setup'!B9)+14,MONTH('ARM Setup'!B9),1)</f>
        <v>51136</v>
      </c>
      <c r="C19" s="33">
        <f>IF(15&lt;='ARM Setup'!B7,'ARM Setup'!B6,MIN(MAX(MIN('ARM Setup'!B13+'ARM Setup'!B14,C18+'ARM Setup'!B11),MAX(C18-'ARM Setup'!B11,0)),'ARM Setup'!B6+'ARM Setup'!B12))</f>
        <v>0.0725</v>
      </c>
      <c r="D19" s="34">
        <f>IF(G18&lt;=0,0,IF(C19=0,G18/(('ARM Setup'!B8-15+1)*12),ROUND(G18*(C19/12*(1+C19/12)^(('ARM Setup'!B8-15+1)*12))/((1+C19/12)^(('ARM Setup'!B8-15+1)*12)-1),2)))</f>
        <v>2321.74</v>
      </c>
      <c r="E19" s="34">
        <f>D19*12</f>
        <v>27860.879999999997</v>
      </c>
      <c r="F19" s="34">
        <f>IF(G18&lt;=0,0,D19*12-(G18-G19))</f>
        <v>18799.159999999996</v>
      </c>
      <c r="G19" s="34">
        <f>IF(C19=0,MAX(G18-D19*12,0),IF(G18&lt;=0,0,MAX(ROUND(G18*(1+C19/12)^12-D19*((1+C19/12)^12-1)/(C19/12),2),0)))</f>
        <v>254336.17</v>
      </c>
      <c r="H19" s="34">
        <v>27376.6</v>
      </c>
    </row>
    <row r="20" ht="26" customHeight="1" spans="1:8" x14ac:dyDescent="0.25">
      <c r="A20" s="35">
        <v>16</v>
      </c>
      <c r="B20" s="36">
        <f>DATE(YEAR('ARM Setup'!B9)+15,MONTH('ARM Setup'!B9),1)</f>
        <v>51502</v>
      </c>
      <c r="C20" s="37">
        <f>IF(16&lt;='ARM Setup'!B7,'ARM Setup'!B6,MIN(MAX(MIN('ARM Setup'!B13+'ARM Setup'!B14,C19+'ARM Setup'!B11),MAX(C19-'ARM Setup'!B11,0)),'ARM Setup'!B6+'ARM Setup'!B12))</f>
        <v>0.0725</v>
      </c>
      <c r="D20" s="38">
        <f>IF(G19&lt;=0,0,IF(C20=0,G19/(('ARM Setup'!B8-16+1)*12),ROUND(G19*(C20/12*(1+C20/12)^(('ARM Setup'!B8-16+1)*12))/((1+C20/12)^(('ARM Setup'!B8-16+1)*12)-1),2)))</f>
        <v>2321.74</v>
      </c>
      <c r="E20" s="38">
        <f>D20*12</f>
        <v>27860.879999999997</v>
      </c>
      <c r="F20" s="38">
        <f>IF(G19&lt;=0,0,D20*12-(G19-G20))</f>
        <v>18119.909999999996</v>
      </c>
      <c r="G20" s="38">
        <f>IF(C20=0,MAX(G19-D20*12,0),IF(G19&lt;=0,0,MAX(ROUND(G19*(1+C20/12)^12-D20*((1+C20/12)^12-1)/(C20/12),2),0)))</f>
        <v>244595.2</v>
      </c>
      <c r="H20" s="38">
        <v>26601.56</v>
      </c>
    </row>
    <row r="21" ht="26" customHeight="1" spans="1:8" x14ac:dyDescent="0.25">
      <c r="A21" s="31">
        <v>17</v>
      </c>
      <c r="B21" s="32">
        <f>DATE(YEAR('ARM Setup'!B9)+16,MONTH('ARM Setup'!B9),1)</f>
        <v>51867</v>
      </c>
      <c r="C21" s="33">
        <f>IF(17&lt;='ARM Setup'!B7,'ARM Setup'!B6,MIN(MAX(MIN('ARM Setup'!B13+'ARM Setup'!B14,C20+'ARM Setup'!B11),MAX(C20-'ARM Setup'!B11,0)),'ARM Setup'!B6+'ARM Setup'!B12))</f>
        <v>0.0725</v>
      </c>
      <c r="D21" s="34">
        <f>IF(G20&lt;=0,0,IF(C21=0,G20/(('ARM Setup'!B8-17+1)*12),ROUND(G20*(C21/12*(1+C21/12)^(('ARM Setup'!B8-17+1)*12))/((1+C21/12)^(('ARM Setup'!B8-17+1)*12)-1),2)))</f>
        <v>2321.74</v>
      </c>
      <c r="E21" s="34">
        <f>D21*12</f>
        <v>27860.879999999997</v>
      </c>
      <c r="F21" s="34">
        <f>IF(G20&lt;=0,0,D21*12-(G20-G21))</f>
        <v>17389.74</v>
      </c>
      <c r="G21" s="34">
        <f>IF(C21=0,MAX(G20-D21*12,0),IF(G20&lt;=0,0,MAX(ROUND(G20*(1+C21/12)^12-D21*((1+C21/12)^12-1)/(C21/12),2),0)))</f>
        <v>234124.06</v>
      </c>
      <c r="H21" s="34">
        <v>25745.39</v>
      </c>
    </row>
    <row r="22" ht="26" customHeight="1" spans="1:8" x14ac:dyDescent="0.25">
      <c r="A22" s="35">
        <v>18</v>
      </c>
      <c r="B22" s="36">
        <f>DATE(YEAR('ARM Setup'!B9)+17,MONTH('ARM Setup'!B9),1)</f>
        <v>52232</v>
      </c>
      <c r="C22" s="37">
        <f>IF(18&lt;='ARM Setup'!B7,'ARM Setup'!B6,MIN(MAX(MIN('ARM Setup'!B13+'ARM Setup'!B14,C21+'ARM Setup'!B11),MAX(C21-'ARM Setup'!B11,0)),'ARM Setup'!B6+'ARM Setup'!B12))</f>
        <v>0.0725</v>
      </c>
      <c r="D22" s="38">
        <f>IF(G21&lt;=0,0,IF(C22=0,G21/(('ARM Setup'!B8-18+1)*12),ROUND(G21*(C22/12*(1+C22/12)^(('ARM Setup'!B8-18+1)*12))/((1+C22/12)^(('ARM Setup'!B8-18+1)*12)-1),2)))</f>
        <v>2321.74</v>
      </c>
      <c r="E22" s="38">
        <f>D22*12</f>
        <v>27860.879999999997</v>
      </c>
      <c r="F22" s="38">
        <f>IF(G21&lt;=0,0,D22*12-(G21-G22))</f>
        <v>16604.850000000002</v>
      </c>
      <c r="G22" s="38">
        <f>IF(C22=0,MAX(G21-D22*12,0),IF(G21&lt;=0,0,MAX(ROUND(G21*(1+C22/12)^12-D22*((1+C22/12)^12-1)/(C22/12),2),0)))</f>
        <v>222868.03</v>
      </c>
      <c r="H22" s="38">
        <v>24799.56</v>
      </c>
    </row>
    <row r="23" ht="26" customHeight="1" spans="1:8" x14ac:dyDescent="0.25">
      <c r="A23" s="31">
        <v>19</v>
      </c>
      <c r="B23" s="32">
        <f>DATE(YEAR('ARM Setup'!B9)+18,MONTH('ARM Setup'!B9),1)</f>
        <v>52597</v>
      </c>
      <c r="C23" s="33">
        <f>IF(19&lt;='ARM Setup'!B7,'ARM Setup'!B6,MIN(MAX(MIN('ARM Setup'!B13+'ARM Setup'!B14,C22+'ARM Setup'!B11),MAX(C22-'ARM Setup'!B11,0)),'ARM Setup'!B6+'ARM Setup'!B12))</f>
        <v>0.0725</v>
      </c>
      <c r="D23" s="34">
        <f>IF(G22&lt;=0,0,IF(C23=0,G22/(('ARM Setup'!B8-19+1)*12),ROUND(G22*(C23/12*(1+C23/12)^(('ARM Setup'!B8-19+1)*12))/((1+C23/12)^(('ARM Setup'!B8-19+1)*12)-1),2)))</f>
        <v>2321.74</v>
      </c>
      <c r="E23" s="34">
        <f>D23*12</f>
        <v>27860.879999999997</v>
      </c>
      <c r="F23" s="34">
        <f>IF(G22&lt;=0,0,D23*12-(G22-G23))</f>
        <v>15761.110000000002</v>
      </c>
      <c r="G23" s="34">
        <f>IF(C23=0,MAX(G22-D23*12,0),IF(G22&lt;=0,0,MAX(ROUND(G22*(1+C23/12)^12-D23*((1+C23/12)^12-1)/(C23/12),2),0)))</f>
        <v>210768.26</v>
      </c>
      <c r="H23" s="34">
        <v>23754.67</v>
      </c>
    </row>
    <row r="24" ht="26" customHeight="1" spans="1:8" x14ac:dyDescent="0.25">
      <c r="A24" s="35">
        <v>20</v>
      </c>
      <c r="B24" s="36">
        <f>DATE(YEAR('ARM Setup'!B9)+19,MONTH('ARM Setup'!B9),1)</f>
        <v>52963</v>
      </c>
      <c r="C24" s="37">
        <f>IF(20&lt;='ARM Setup'!B7,'ARM Setup'!B6,MIN(MAX(MIN('ARM Setup'!B13+'ARM Setup'!B14,C23+'ARM Setup'!B11),MAX(C23-'ARM Setup'!B11,0)),'ARM Setup'!B6+'ARM Setup'!B12))</f>
        <v>0.0725</v>
      </c>
      <c r="D24" s="38">
        <f>IF(G23&lt;=0,0,IF(C24=0,G23/(('ARM Setup'!B8-20+1)*12),ROUND(G23*(C24/12*(1+C24/12)^(('ARM Setup'!B8-20+1)*12))/((1+C24/12)^(('ARM Setup'!B8-20+1)*12)-1),2)))</f>
        <v>2321.74</v>
      </c>
      <c r="E24" s="38">
        <f>D24*12</f>
        <v>27860.879999999997</v>
      </c>
      <c r="F24" s="38">
        <f>IF(G23&lt;=0,0,D24*12-(G23-G24))</f>
        <v>14854.149999999998</v>
      </c>
      <c r="G24" s="38">
        <f>IF(C24=0,MAX(G23-D24*12,0),IF(G23&lt;=0,0,MAX(ROUND(G23*(1+C24/12)^12-D24*((1+C24/12)^12-1)/(C24/12),2),0)))</f>
        <v>197761.53</v>
      </c>
      <c r="H24" s="38">
        <v>22600.41</v>
      </c>
    </row>
    <row r="25" ht="26" customHeight="1" spans="1:8" x14ac:dyDescent="0.25">
      <c r="A25" s="31">
        <v>21</v>
      </c>
      <c r="B25" s="32">
        <f>DATE(YEAR('ARM Setup'!B9)+20,MONTH('ARM Setup'!B9),1)</f>
        <v>53328</v>
      </c>
      <c r="C25" s="33">
        <f>IF(21&lt;='ARM Setup'!B7,'ARM Setup'!B6,MIN(MAX(MIN('ARM Setup'!B13+'ARM Setup'!B14,C24+'ARM Setup'!B11),MAX(C24-'ARM Setup'!B11,0)),'ARM Setup'!B6+'ARM Setup'!B12))</f>
        <v>0.0725</v>
      </c>
      <c r="D25" s="34">
        <f>IF(G24&lt;=0,0,IF(C25=0,G24/(('ARM Setup'!B8-21+1)*12),ROUND(G24*(C25/12*(1+C25/12)^(('ARM Setup'!B8-21+1)*12))/((1+C25/12)^(('ARM Setup'!B8-21+1)*12)-1),2)))</f>
        <v>2321.74</v>
      </c>
      <c r="E25" s="34">
        <f>D25*12</f>
        <v>27860.879999999997</v>
      </c>
      <c r="F25" s="34">
        <f>IF(G24&lt;=0,0,D25*12-(G24-G25))</f>
        <v>13879.180000000002</v>
      </c>
      <c r="G25" s="34">
        <f>IF(C25=0,MAX(G24-D25*12,0),IF(G24&lt;=0,0,MAX(ROUND(G24*(1+C25/12)^12-D25*((1+C25/12)^12-1)/(C25/12),2),0)))</f>
        <v>183779.83</v>
      </c>
      <c r="H25" s="34">
        <v>21325.24</v>
      </c>
    </row>
    <row r="26" ht="26" customHeight="1" spans="1:8" x14ac:dyDescent="0.25">
      <c r="A26" s="35">
        <v>22</v>
      </c>
      <c r="B26" s="36">
        <f>DATE(YEAR('ARM Setup'!B9)+21,MONTH('ARM Setup'!B9),1)</f>
        <v>53693</v>
      </c>
      <c r="C26" s="37">
        <f>IF(22&lt;='ARM Setup'!B7,'ARM Setup'!B6,MIN(MAX(MIN('ARM Setup'!B13+'ARM Setup'!B14,C25+'ARM Setup'!B11),MAX(C25-'ARM Setup'!B11,0)),'ARM Setup'!B6+'ARM Setup'!B12))</f>
        <v>0.0725</v>
      </c>
      <c r="D26" s="38">
        <f>IF(G25&lt;=0,0,IF(C26=0,G25/(('ARM Setup'!B8-22+1)*12),ROUND(G25*(C26/12*(1+C26/12)^(('ARM Setup'!B8-22+1)*12))/((1+C26/12)^(('ARM Setup'!B8-22+1)*12)-1),2)))</f>
        <v>2321.74</v>
      </c>
      <c r="E26" s="38">
        <f>D26*12</f>
        <v>27860.879999999997</v>
      </c>
      <c r="F26" s="38">
        <f>IF(G25&lt;=0,0,D26*12-(G25-G26))</f>
        <v>12831.130000000003</v>
      </c>
      <c r="G26" s="38">
        <f>IF(C26=0,MAX(G25-D26*12,0),IF(G25&lt;=0,0,MAX(ROUND(G25*(1+C26/12)^12-D26*((1+C26/12)^12-1)/(C26/12),2),0)))</f>
        <v>168750.08</v>
      </c>
      <c r="H26" s="38">
        <v>19916.59</v>
      </c>
    </row>
    <row r="27" ht="26" customHeight="1" spans="1:8" x14ac:dyDescent="0.25">
      <c r="A27" s="31">
        <v>23</v>
      </c>
      <c r="B27" s="32">
        <f>DATE(YEAR('ARM Setup'!B9)+22,MONTH('ARM Setup'!B9),1)</f>
        <v>54058</v>
      </c>
      <c r="C27" s="33">
        <f>IF(23&lt;='ARM Setup'!B7,'ARM Setup'!B6,MIN(MAX(MIN('ARM Setup'!B13+'ARM Setup'!B14,C26+'ARM Setup'!B11),MAX(C26-'ARM Setup'!B11,0)),'ARM Setup'!B6+'ARM Setup'!B12))</f>
        <v>0.0725</v>
      </c>
      <c r="D27" s="34">
        <f>IF(G26&lt;=0,0,IF(C27=0,G26/(('ARM Setup'!B8-23+1)*12),ROUND(G26*(C27/12*(1+C27/12)^(('ARM Setup'!B8-23+1)*12))/((1+C27/12)^(('ARM Setup'!B8-23+1)*12)-1),2)))</f>
        <v>2321.74</v>
      </c>
      <c r="E27" s="34">
        <f>D27*12</f>
        <v>27860.879999999997</v>
      </c>
      <c r="F27" s="34">
        <f>IF(G26&lt;=0,0,D27*12-(G26-G27))</f>
        <v>11704.53</v>
      </c>
      <c r="G27" s="34">
        <f>IF(C27=0,MAX(G26-D27*12,0),IF(G26&lt;=0,0,MAX(ROUND(G26*(1+C27/12)^12-D27*((1+C27/12)^12-1)/(C27/12),2),0)))</f>
        <v>152593.73</v>
      </c>
      <c r="H27" s="34">
        <v>18360.4</v>
      </c>
    </row>
    <row r="28" ht="26" customHeight="1" spans="1:8" x14ac:dyDescent="0.25">
      <c r="A28" s="35">
        <v>24</v>
      </c>
      <c r="B28" s="36">
        <f>DATE(YEAR('ARM Setup'!B9)+23,MONTH('ARM Setup'!B9),1)</f>
        <v>54424</v>
      </c>
      <c r="C28" s="37">
        <f>IF(24&lt;='ARM Setup'!B7,'ARM Setup'!B6,MIN(MAX(MIN('ARM Setup'!B13+'ARM Setup'!B14,C27+'ARM Setup'!B11),MAX(C27-'ARM Setup'!B11,0)),'ARM Setup'!B6+'ARM Setup'!B12))</f>
        <v>0.0725</v>
      </c>
      <c r="D28" s="38">
        <f>IF(G27&lt;=0,0,IF(C28=0,G27/(('ARM Setup'!B8-24+1)*12),ROUND(G27*(C28/12*(1+C28/12)^(('ARM Setup'!B8-24+1)*12))/((1+C28/12)^(('ARM Setup'!B8-24+1)*12)-1),2)))</f>
        <v>2321.74</v>
      </c>
      <c r="E28" s="38">
        <f>D28*12</f>
        <v>27860.879999999997</v>
      </c>
      <c r="F28" s="38">
        <f>IF(G27&lt;=0,0,D28*12-(G27-G28))</f>
        <v>10493.460000000001</v>
      </c>
      <c r="G28" s="38">
        <f>IF(C28=0,MAX(G27-D28*12,0),IF(G27&lt;=0,0,MAX(ROUND(G27*(1+C28/12)^12-D28*((1+C28/12)^12-1)/(C28/12),2),0)))</f>
        <v>135226.31</v>
      </c>
      <c r="H28" s="38">
        <v>16641.27</v>
      </c>
    </row>
    <row r="29" ht="26" customHeight="1" spans="1:8" x14ac:dyDescent="0.25">
      <c r="A29" s="31">
        <v>25</v>
      </c>
      <c r="B29" s="32">
        <f>DATE(YEAR('ARM Setup'!B9)+24,MONTH('ARM Setup'!B9),1)</f>
        <v>54789</v>
      </c>
      <c r="C29" s="33">
        <f>IF(25&lt;='ARM Setup'!B7,'ARM Setup'!B6,MIN(MAX(MIN('ARM Setup'!B13+'ARM Setup'!B14,C28+'ARM Setup'!B11),MAX(C28-'ARM Setup'!B11,0)),'ARM Setup'!B6+'ARM Setup'!B12))</f>
        <v>0.0725</v>
      </c>
      <c r="D29" s="34">
        <f>IF(G28&lt;=0,0,IF(C29=0,G28/(('ARM Setup'!B8-25+1)*12),ROUND(G28*(C29/12*(1+C29/12)^(('ARM Setup'!B8-25+1)*12))/((1+C29/12)^(('ARM Setup'!B8-25+1)*12)-1),2)))</f>
        <v>2321.74</v>
      </c>
      <c r="E29" s="34">
        <f>D29*12</f>
        <v>27860.879999999997</v>
      </c>
      <c r="F29" s="34">
        <f>IF(G28&lt;=0,0,D29*12-(G28-G29))</f>
        <v>9191.63</v>
      </c>
      <c r="G29" s="34">
        <f>IF(C29=0,MAX(G28-D29*12,0),IF(G28&lt;=0,0,MAX(ROUND(G28*(1+C29/12)^12-D29*((1+C29/12)^12-1)/(C29/12),2),0)))</f>
        <v>116557.06</v>
      </c>
      <c r="H29" s="34">
        <v>14742.1</v>
      </c>
    </row>
    <row r="30" ht="26" customHeight="1" spans="1:8" x14ac:dyDescent="0.25">
      <c r="A30" s="35">
        <v>26</v>
      </c>
      <c r="B30" s="36">
        <f>DATE(YEAR('ARM Setup'!B9)+25,MONTH('ARM Setup'!B9),1)</f>
        <v>55154</v>
      </c>
      <c r="C30" s="37">
        <f>IF(26&lt;='ARM Setup'!B7,'ARM Setup'!B6,MIN(MAX(MIN('ARM Setup'!B13+'ARM Setup'!B14,C29+'ARM Setup'!B11),MAX(C29-'ARM Setup'!B11,0)),'ARM Setup'!B6+'ARM Setup'!B12))</f>
        <v>0.0725</v>
      </c>
      <c r="D30" s="38">
        <f>IF(G29&lt;=0,0,IF(C30=0,G29/(('ARM Setup'!B8-26+1)*12),ROUND(G29*(C30/12*(1+C30/12)^(('ARM Setup'!B8-26+1)*12))/((1+C30/12)^(('ARM Setup'!B8-26+1)*12)-1),2)))</f>
        <v>2321.74</v>
      </c>
      <c r="E30" s="38">
        <f>D30*12</f>
        <v>27860.879999999997</v>
      </c>
      <c r="F30" s="38">
        <f>IF(G29&lt;=0,0,D30*12-(G29-G30))</f>
        <v>7792.21</v>
      </c>
      <c r="G30" s="38">
        <f>IF(C30=0,MAX(G29-D30*12,0),IF(G29&lt;=0,0,MAX(ROUND(G29*(1+C30/12)^12-D30*((1+C30/12)^12-1)/(C30/12),2),0)))</f>
        <v>96488.39</v>
      </c>
      <c r="H30" s="38">
        <v>12644.09</v>
      </c>
    </row>
    <row r="31" ht="26" customHeight="1" spans="1:8" x14ac:dyDescent="0.25">
      <c r="A31" s="31">
        <v>27</v>
      </c>
      <c r="B31" s="32">
        <f>DATE(YEAR('ARM Setup'!B9)+26,MONTH('ARM Setup'!B9),1)</f>
        <v>55519</v>
      </c>
      <c r="C31" s="33">
        <f>IF(27&lt;='ARM Setup'!B7,'ARM Setup'!B6,MIN(MAX(MIN('ARM Setup'!B13+'ARM Setup'!B14,C30+'ARM Setup'!B11),MAX(C30-'ARM Setup'!B11,0)),'ARM Setup'!B6+'ARM Setup'!B12))</f>
        <v>0.0725</v>
      </c>
      <c r="D31" s="34">
        <f>IF(G30&lt;=0,0,IF(C31=0,G30/(('ARM Setup'!B8-27+1)*12),ROUND(G30*(C31/12*(1+C31/12)^(('ARM Setup'!B8-27+1)*12))/((1+C31/12)^(('ARM Setup'!B8-27+1)*12)-1),2)))</f>
        <v>2321.74</v>
      </c>
      <c r="E31" s="34">
        <f>D31*12</f>
        <v>27860.879999999997</v>
      </c>
      <c r="F31" s="34">
        <f>IF(G30&lt;=0,0,D31*12-(G30-G31))</f>
        <v>6287.93</v>
      </c>
      <c r="G31" s="34">
        <f>IF(C31=0,MAX(G30-D31*12,0),IF(G30&lt;=0,0,MAX(ROUND(G30*(1+C31/12)^12-D31*((1+C31/12)^12-1)/(C31/12),2),0)))</f>
        <v>74915.44</v>
      </c>
      <c r="H31" s="34">
        <v>10326.39</v>
      </c>
    </row>
    <row r="32" ht="26" customHeight="1" spans="1:8" x14ac:dyDescent="0.25">
      <c r="A32" s="35">
        <v>28</v>
      </c>
      <c r="B32" s="36">
        <f>DATE(YEAR('ARM Setup'!B9)+27,MONTH('ARM Setup'!B9),1)</f>
        <v>55885</v>
      </c>
      <c r="C32" s="37">
        <f>IF(28&lt;='ARM Setup'!B7,'ARM Setup'!B6,MIN(MAX(MIN('ARM Setup'!B13+'ARM Setup'!B14,C31+'ARM Setup'!B11),MAX(C31-'ARM Setup'!B11,0)),'ARM Setup'!B6+'ARM Setup'!B12))</f>
        <v>0.0725</v>
      </c>
      <c r="D32" s="38">
        <f>IF(G31&lt;=0,0,IF(C32=0,G31/(('ARM Setup'!B8-28+1)*12),ROUND(G31*(C32/12*(1+C32/12)^(('ARM Setup'!B8-28+1)*12))/((1+C32/12)^(('ARM Setup'!B8-28+1)*12)-1),2)))</f>
        <v>2321.74</v>
      </c>
      <c r="E32" s="38">
        <f>D32*12</f>
        <v>27860.879999999997</v>
      </c>
      <c r="F32" s="38">
        <f>IF(G31&lt;=0,0,D32*12-(G31-G32))</f>
        <v>4670.829999999999</v>
      </c>
      <c r="G32" s="38">
        <f>IF(C32=0,MAX(G31-D32*12,0),IF(G31&lt;=0,0,MAX(ROUND(G31*(1+C32/12)^12-D32*((1+C32/12)^12-1)/(C32/12),2),0)))</f>
        <v>51725.39</v>
      </c>
      <c r="H32" s="38">
        <v>7765.97</v>
      </c>
    </row>
    <row r="33" ht="26" customHeight="1" spans="1:8" x14ac:dyDescent="0.25">
      <c r="A33" s="31">
        <v>29</v>
      </c>
      <c r="B33" s="32">
        <f>DATE(YEAR('ARM Setup'!B9)+28,MONTH('ARM Setup'!B9),1)</f>
        <v>56250</v>
      </c>
      <c r="C33" s="33">
        <f>IF(29&lt;='ARM Setup'!B7,'ARM Setup'!B6,MIN(MAX(MIN('ARM Setup'!B13+'ARM Setup'!B14,C32+'ARM Setup'!B11),MAX(C32-'ARM Setup'!B11,0)),'ARM Setup'!B6+'ARM Setup'!B12))</f>
        <v>0.0725</v>
      </c>
      <c r="D33" s="34">
        <f>IF(G32&lt;=0,0,IF(C33=0,G32/(('ARM Setup'!B8-29+1)*12),ROUND(G32*(C33/12*(1+C33/12)^(('ARM Setup'!B8-29+1)*12))/((1+C33/12)^(('ARM Setup'!B8-29+1)*12)-1),2)))</f>
        <v>2321.75</v>
      </c>
      <c r="E33" s="34">
        <f>D33*12</f>
        <v>27861</v>
      </c>
      <c r="F33" s="34">
        <f>IF(G32&lt;=0,0,D33*12-(G32-G33))</f>
        <v>2932.5599999999995</v>
      </c>
      <c r="G33" s="34">
        <f>IF(C33=0,MAX(G32-D33*12,0),IF(G32&lt;=0,0,MAX(ROUND(G32*(1+C33/12)^12-D33*((1+C33/12)^12-1)/(C33/12),2),0)))</f>
        <v>26796.95</v>
      </c>
      <c r="H33" s="34">
        <v>4937.47</v>
      </c>
    </row>
    <row r="34" ht="26" customHeight="1" spans="1:8" x14ac:dyDescent="0.25">
      <c r="A34" s="35">
        <v>30</v>
      </c>
      <c r="B34" s="36">
        <f>DATE(YEAR('ARM Setup'!B9)+29,MONTH('ARM Setup'!B9),1)</f>
        <v>56615</v>
      </c>
      <c r="C34" s="37">
        <f>IF(30&lt;='ARM Setup'!B7,'ARM Setup'!B6,MIN(MAX(MIN('ARM Setup'!B13+'ARM Setup'!B14,C33+'ARM Setup'!B11),MAX(C33-'ARM Setup'!B11,0)),'ARM Setup'!B6+'ARM Setup'!B12))</f>
        <v>0.0725</v>
      </c>
      <c r="D34" s="38">
        <f>IF(G33&lt;=0,0,IF(C34=0,G33/(('ARM Setup'!B8-30+1)*12),ROUND(G33*(C34/12*(1+C34/12)^(('ARM Setup'!B8-30+1)*12))/((1+C34/12)^(('ARM Setup'!B8-30+1)*12)-1),2)))</f>
        <v>2321.74</v>
      </c>
      <c r="E34" s="38">
        <f>D34*12</f>
        <v>27860.879999999997</v>
      </c>
      <c r="F34" s="38">
        <f>IF(G33&lt;=0,0,D34*12-(G33-G34))</f>
        <v>1063.95</v>
      </c>
      <c r="G34" s="38">
        <f>IF(C34=0,MAX(G33-D34*12,0),IF(G33&lt;=0,0,MAX(ROUND(G33*(1+C34/12)^12-D34*((1+C34/12)^12-1)/(C34/12),2),0)))</f>
        <v>0.02</v>
      </c>
      <c r="H34" s="38">
        <v>1812.78</v>
      </c>
    </row>
    <row r="35" ht="14" customHeight="1" x14ac:dyDescent="0.25"/>
    <row r="36" ht="6" customHeight="1" x14ac:dyDescent="0.25"/>
    <row r="37" ht="20" customHeight="1" spans="1:8" x14ac:dyDescent="0.25">
      <c r="A37" s="12" t="s">
        <v>16</v>
      </c>
      <c r="B37" s="12"/>
      <c r="C37" s="12"/>
      <c r="D37" s="12"/>
      <c r="E37" s="12"/>
      <c r="F37" s="12"/>
      <c r="G37" s="12"/>
      <c r="H37" s="12"/>
    </row>
    <row r="38" ht="20" customHeight="1" spans="1:8" x14ac:dyDescent="0.25">
      <c r="A38" s="13" t="s">
        <v>17</v>
      </c>
      <c r="B38" s="13"/>
      <c r="C38" s="13"/>
      <c r="D38" s="13"/>
      <c r="E38" s="13"/>
      <c r="F38" s="13"/>
      <c r="G38" s="13"/>
      <c r="H38" s="13"/>
    </row>
  </sheetData>
  <sheetProtection sheet="1"/>
  <mergeCells count="4">
    <mergeCell ref="A1:H1"/>
    <mergeCell ref="A2:H2"/>
    <mergeCell ref="A37:H37"/>
    <mergeCell ref="A38:H38"/>
  </mergeCells>
  <hyperlinks>
    <hyperlink ref="A38" r:id="rId1"/>
  </hyperlinks>
  <pageMargins left="0.5" right="0.5" top="0.5" bottom="0.5" header="0.3" footer="0.3"/>
  <pageSetup paperSize="1" orientation="landscape" fitToWidth="1" fitToHeight="0"/>
  <headerFooter>
    <oddFooter>&amp;L&amp;8FinancialAha.com&amp;C&amp;8Page &amp;P of &amp;N&amp;R&amp;8&amp;D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9A7B4F"/>
    <pageSetUpPr fitToPage="1"/>
  </sheetPr>
  <dimension ref="A1:B53"/>
  <sheetViews>
    <sheetView workbookViewId="0" showGridLines="0" zoomScale="125"/>
  </sheetViews>
  <sheetFormatPr defaultRowHeight="15" outlineLevelRow="0" outlineLevelCol="0" x14ac:dyDescent="55"/>
  <cols>
    <col min="1" max="1" width="4" customWidth="1"/>
    <col min="2" max="2" width="80" customWidth="1"/>
  </cols>
  <sheetData>
    <row r="1" ht="48" customHeight="1" spans="1:2" x14ac:dyDescent="0.25">
      <c r="A1" s="39" t="s">
        <v>91</v>
      </c>
      <c r="B1" s="39"/>
    </row>
    <row r="2" ht="24" customHeight="1" spans="1:2" x14ac:dyDescent="0.25">
      <c r="A2" s="40" t="s">
        <v>92</v>
      </c>
      <c r="B2" s="40"/>
    </row>
    <row r="3" ht="14" customHeight="1" x14ac:dyDescent="0.25"/>
    <row r="4" ht="28" customHeight="1" spans="1:2" x14ac:dyDescent="0.25">
      <c r="A4" s="41" t="s">
        <v>93</v>
      </c>
      <c r="B4" s="11"/>
    </row>
    <row r="6" ht="24" customHeight="1" spans="2:2" x14ac:dyDescent="0.25">
      <c r="B6" s="42" t="s">
        <v>94</v>
      </c>
    </row>
    <row r="7" ht="24" customHeight="1" spans="2:2" x14ac:dyDescent="0.25">
      <c r="B7" s="42" t="s">
        <v>95</v>
      </c>
    </row>
    <row r="8" ht="24" customHeight="1" spans="2:2" x14ac:dyDescent="0.25">
      <c r="B8" s="42" t="s">
        <v>96</v>
      </c>
    </row>
    <row r="9" ht="24" customHeight="1" spans="2:2" x14ac:dyDescent="0.25">
      <c r="B9" s="42" t="s">
        <v>97</v>
      </c>
    </row>
    <row r="10" ht="24" customHeight="1" spans="2:2" x14ac:dyDescent="0.25">
      <c r="B10" s="42" t="s">
        <v>98</v>
      </c>
    </row>
    <row r="11" ht="12" customHeight="1" x14ac:dyDescent="0.25"/>
    <row r="12" ht="28" customHeight="1" spans="1:2" x14ac:dyDescent="0.25">
      <c r="A12" s="41" t="s">
        <v>99</v>
      </c>
      <c r="B12" s="11"/>
    </row>
    <row r="14" ht="24" customHeight="1" spans="2:2" x14ac:dyDescent="0.25">
      <c r="B14" s="42" t="s">
        <v>100</v>
      </c>
    </row>
    <row r="15" ht="24" customHeight="1" spans="2:2" x14ac:dyDescent="0.25">
      <c r="B15" s="42" t="s">
        <v>101</v>
      </c>
    </row>
    <row r="16" ht="24" customHeight="1" spans="2:2" x14ac:dyDescent="0.25">
      <c r="B16" s="42" t="s">
        <v>102</v>
      </c>
    </row>
    <row r="17" ht="24" customHeight="1" spans="2:2" x14ac:dyDescent="0.25">
      <c r="B17" s="42" t="s">
        <v>103</v>
      </c>
    </row>
    <row r="18" ht="24" customHeight="1" spans="2:2" x14ac:dyDescent="0.25">
      <c r="B18" s="42" t="s">
        <v>104</v>
      </c>
    </row>
    <row r="19" ht="12" customHeight="1" x14ac:dyDescent="0.25"/>
    <row r="20" ht="28" customHeight="1" spans="1:2" x14ac:dyDescent="0.25">
      <c r="A20" s="41" t="s">
        <v>105</v>
      </c>
      <c r="B20" s="11"/>
    </row>
    <row r="22" ht="24" customHeight="1" spans="2:2" x14ac:dyDescent="0.25">
      <c r="B22" s="42" t="s">
        <v>106</v>
      </c>
    </row>
    <row r="23" ht="24" customHeight="1" spans="2:2" x14ac:dyDescent="0.25">
      <c r="B23" s="42" t="s">
        <v>107</v>
      </c>
    </row>
    <row r="24" ht="24" customHeight="1" spans="2:2" x14ac:dyDescent="0.25">
      <c r="B24" s="42" t="s">
        <v>108</v>
      </c>
    </row>
    <row r="25" ht="24" customHeight="1" spans="2:2" x14ac:dyDescent="0.25">
      <c r="B25" s="42" t="s">
        <v>109</v>
      </c>
    </row>
    <row r="26" ht="24" customHeight="1" spans="2:2" x14ac:dyDescent="0.25">
      <c r="B26" s="42" t="s">
        <v>110</v>
      </c>
    </row>
    <row r="27" ht="12" customHeight="1" x14ac:dyDescent="0.25"/>
    <row r="28" ht="28" customHeight="1" spans="1:2" x14ac:dyDescent="0.25">
      <c r="A28" s="41" t="s">
        <v>111</v>
      </c>
      <c r="B28" s="11"/>
    </row>
    <row r="30" ht="24" customHeight="1" spans="2:2" x14ac:dyDescent="0.25">
      <c r="B30" s="42" t="s">
        <v>112</v>
      </c>
    </row>
    <row r="31" ht="24" customHeight="1" spans="2:2" x14ac:dyDescent="0.25">
      <c r="B31" s="42" t="s">
        <v>113</v>
      </c>
    </row>
    <row r="32" ht="24" customHeight="1" spans="2:2" x14ac:dyDescent="0.25">
      <c r="B32" s="42" t="s">
        <v>114</v>
      </c>
    </row>
    <row r="33" ht="24" customHeight="1" spans="2:2" x14ac:dyDescent="0.25">
      <c r="B33" s="42" t="s">
        <v>115</v>
      </c>
    </row>
    <row r="34" ht="24" customHeight="1" spans="2:2" x14ac:dyDescent="0.25">
      <c r="B34" s="42" t="s">
        <v>116</v>
      </c>
    </row>
    <row r="35" ht="24" customHeight="1" spans="2:2" x14ac:dyDescent="0.25">
      <c r="B35" s="42" t="s">
        <v>117</v>
      </c>
    </row>
    <row r="36" ht="12" customHeight="1" x14ac:dyDescent="0.25"/>
    <row r="37" ht="28" customHeight="1" spans="1:2" x14ac:dyDescent="0.25">
      <c r="A37" s="41" t="s">
        <v>118</v>
      </c>
      <c r="B37" s="11"/>
    </row>
    <row r="39" ht="24" customHeight="1" spans="2:2" x14ac:dyDescent="0.25">
      <c r="B39" s="42" t="s">
        <v>119</v>
      </c>
    </row>
    <row r="40" ht="24" customHeight="1" spans="2:2" x14ac:dyDescent="0.25">
      <c r="B40" s="42" t="s">
        <v>120</v>
      </c>
    </row>
    <row r="41" ht="24" customHeight="1" spans="2:2" x14ac:dyDescent="0.25">
      <c r="B41" s="42" t="s">
        <v>121</v>
      </c>
    </row>
    <row r="42" ht="24" customHeight="1" spans="2:2" x14ac:dyDescent="0.25">
      <c r="B42" s="42" t="s">
        <v>122</v>
      </c>
    </row>
    <row r="43" ht="24" customHeight="1" spans="2:2" x14ac:dyDescent="0.25">
      <c r="B43" s="42" t="s">
        <v>123</v>
      </c>
    </row>
    <row r="44" ht="12" customHeight="1" x14ac:dyDescent="0.25"/>
    <row r="45" ht="28" customHeight="1" spans="1:2" x14ac:dyDescent="0.25">
      <c r="A45" s="41" t="s">
        <v>124</v>
      </c>
      <c r="B45" s="11"/>
    </row>
    <row r="47" ht="24" customHeight="1" spans="2:2" x14ac:dyDescent="0.25">
      <c r="B47" s="42" t="s">
        <v>125</v>
      </c>
    </row>
    <row r="48" ht="24" customHeight="1" spans="2:2" x14ac:dyDescent="0.25">
      <c r="B48" s="42" t="s">
        <v>126</v>
      </c>
    </row>
    <row r="49" ht="24" customHeight="1" spans="2:2" x14ac:dyDescent="0.25">
      <c r="B49" s="42" t="s">
        <v>127</v>
      </c>
    </row>
    <row r="50" ht="12" customHeight="1" x14ac:dyDescent="0.25"/>
    <row r="51" ht="6" customHeight="1" x14ac:dyDescent="0.25"/>
    <row r="52" ht="20" customHeight="1" spans="1:2" x14ac:dyDescent="0.25">
      <c r="A52" s="43" t="s">
        <v>16</v>
      </c>
      <c r="B52" s="43"/>
    </row>
    <row r="53" ht="20" customHeight="1" spans="1:2" x14ac:dyDescent="0.25">
      <c r="A53" s="44" t="s">
        <v>17</v>
      </c>
      <c r="B53" s="44"/>
    </row>
  </sheetData>
  <mergeCells count="4">
    <mergeCell ref="A1:B1"/>
    <mergeCell ref="A2:B2"/>
    <mergeCell ref="A52:B52"/>
    <mergeCell ref="A53:B53"/>
  </mergeCells>
  <hyperlinks>
    <hyperlink ref="A53" r:id="rId1"/>
  </hyperlinks>
  <pageMargins left="0.5" right="0.5" top="0.5" bottom="0.5" header="0.3" footer="0.3"/>
  <pageSetup paperSize="1" orientation="portrait" fitToWidth="1" fitToHeight="0"/>
  <headerFooter>
    <oddFooter>&amp;L&amp;8FinancialAha.com&amp;C&amp;8Page &amp;P of &amp;N&amp;R&amp;8&amp;D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Dashboard</vt:lpstr>
      <vt:lpstr>ARM Setup</vt:lpstr>
      <vt:lpstr>Rate Schedule</vt:lpstr>
      <vt:lpstr>How to Use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FinancialAha.com</dc:creator>
  <dc:title>ARM Calculator</dc:title>
  <dc:subject>Financial Template</dc:subject>
  <dc:description>Free ARM Calculator template by FinancialAha.com</dc:description>
  <cp:keywords>finance, template, spreadsheet, FinancialAha</cp:keywords>
  <cp:category>Finance</cp:category>
  <cp:lastModifiedBy>Unknown</cp:lastModifiedBy>
  <cp:lastPrinted>2026-04-01T17:59:38Z</cp:lastPrinted>
  <dcterms:created xsi:type="dcterms:W3CDTF">2026-04-01T17:59:38Z</dcterms:created>
  <dcterms:modified xsi:type="dcterms:W3CDTF">2026-04-01T17:59:38Z</dcterms:modified>
</cp:coreProperties>
</file>