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401k Setup" state="visible" r:id="rId5"/>
    <sheet sheetId="3" name="Projection Tab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<sst xmlns="http://schemas.openxmlformats.org/spreadsheetml/2006/main" count="115" uniqueCount="109">
  <si>
    <t>401(k) Retirement Calculator</t>
  </si>
  <si>
    <t>Project your 401(k) growth with employer matching and salary increases</t>
  </si>
  <si>
    <t>by FinancialAha.com</t>
  </si>
  <si>
    <t>PROJECTED BALANCE</t>
  </si>
  <si>
    <t>EMPLOYER MATCH TOTAL</t>
  </si>
  <si>
    <t>at retirement age</t>
  </si>
  <si>
    <t>free money from your employer</t>
  </si>
  <si>
    <t>INVESTMENT GROWTH</t>
  </si>
  <si>
    <t>MONTHLY RETIREMENT INCOME</t>
  </si>
  <si>
    <t>total compound interest earned</t>
  </si>
  <si>
    <t>using the 4% withdrawal rule</t>
  </si>
  <si>
    <t>401(K) GROWTH PROJECTION</t>
  </si>
  <si>
    <t>Created with FinancialAha.com - Free financial tools and templates</t>
  </si>
  <si>
    <t>Get a premium spreadsheet from FinancialAha.com</t>
  </si>
  <si>
    <t/>
  </si>
  <si>
    <t>Age 30</t>
  </si>
  <si>
    <t>Age 32</t>
  </si>
  <si>
    <t>Age 34</t>
  </si>
  <si>
    <t>Age 36</t>
  </si>
  <si>
    <t>Age 38</t>
  </si>
  <si>
    <t>Age 40</t>
  </si>
  <si>
    <t>Age 42</t>
  </si>
  <si>
    <t>Age 44</t>
  </si>
  <si>
    <t>Age 46</t>
  </si>
  <si>
    <t>Age 48</t>
  </si>
  <si>
    <t>Age 50</t>
  </si>
  <si>
    <t>Age 52</t>
  </si>
  <si>
    <t>Age 54</t>
  </si>
  <si>
    <t>Age 56</t>
  </si>
  <si>
    <t>Age 58</t>
  </si>
  <si>
    <t>Age 60</t>
  </si>
  <si>
    <t>Age 62</t>
  </si>
  <si>
    <t>Age 64</t>
  </si>
  <si>
    <t>Total Balance</t>
  </si>
  <si>
    <t>Total Contributed</t>
  </si>
  <si>
    <t>401(k) Calculator Setup</t>
  </si>
  <si>
    <t>Enter your 401(k) details in the yellow cells below.</t>
  </si>
  <si>
    <t>AGE &amp; CURRENT BALANCE</t>
  </si>
  <si>
    <t>Current Age</t>
  </si>
  <si>
    <t>Your current age</t>
  </si>
  <si>
    <t>Retirement Age</t>
  </si>
  <si>
    <t>When you plan to retire</t>
  </si>
  <si>
    <t>Current 401(k) Balance</t>
  </si>
  <si>
    <t>Your current account balance</t>
  </si>
  <si>
    <t>SALARY &amp; CONTRIBUTIONS</t>
  </si>
  <si>
    <t>Annual Salary</t>
  </si>
  <si>
    <t>Current gross annual salary</t>
  </si>
  <si>
    <t>Your Contribution %</t>
  </si>
  <si>
    <t>Percentage of salary you contribute</t>
  </si>
  <si>
    <t>Employer Match %</t>
  </si>
  <si>
    <t>e.g. 50% means $0.50 per $1 you contribute</t>
  </si>
  <si>
    <t>Employer Match Up To</t>
  </si>
  <si>
    <t>Max % of salary employer will match</t>
  </si>
  <si>
    <t>GROWTH ASSUMPTIONS</t>
  </si>
  <si>
    <t>Expected Annual Return</t>
  </si>
  <si>
    <t>Average annual investment return</t>
  </si>
  <si>
    <t>Annual Salary Growth</t>
  </si>
  <si>
    <t>Expected annual raise percentage</t>
  </si>
  <si>
    <t>PROJECTED RESULTS</t>
  </si>
  <si>
    <t>Years to Retirement</t>
  </si>
  <si>
    <t>Projected Balance at Retirement</t>
  </si>
  <si>
    <t>Your Total Contributions</t>
  </si>
  <si>
    <t>Employer Match Total</t>
  </si>
  <si>
    <t>Total Investment Growth</t>
  </si>
  <si>
    <t>Monthly Income (4% Rule)</t>
  </si>
  <si>
    <t>401(k) Projection Table</t>
  </si>
  <si>
    <t>Year-by-year 401(k) growth projection with employer matching.</t>
  </si>
  <si>
    <t>Year</t>
  </si>
  <si>
    <t>Age</t>
  </si>
  <si>
    <t>Salary</t>
  </si>
  <si>
    <t>Your Contrib.</t>
  </si>
  <si>
    <t>Employer Match</t>
  </si>
  <si>
    <t>Growth</t>
  </si>
  <si>
    <t>End Balance</t>
  </si>
  <si>
    <t>Total You Paid</t>
  </si>
  <si>
    <t>Total Employer</t>
  </si>
  <si>
    <t>How to Use This Template</t>
  </si>
  <si>
    <t>401(k) Calculator by FinancialAha.com</t>
  </si>
  <si>
    <t>GETTING STARTED</t>
  </si>
  <si>
    <t>1. Go to the "401k Setup" sheet and enter your details in the yellow cells.</t>
  </si>
  <si>
    <t>2. Enter your Current Age, Retirement Age, and current 401(k) Balance.</t>
  </si>
  <si>
    <t>3. Enter your Annual Salary and Contribution Percentage.</t>
  </si>
  <si>
    <t>4. Set the Employer Match details - check your benefits handbook for these numbers.</t>
  </si>
  <si>
    <t>5. Adjust Expected Return and Salary Growth assumptions.</t>
  </si>
  <si>
    <t>UNDERSTANDING EMPLOYER MATCH</t>
  </si>
  <si>
    <t>Employer Match % is how much your employer contributes per dollar you put in.</t>
  </si>
  <si>
    <t>For example, 50% match means your employer adds $0.50 for every $1.00 you contribute.</t>
  </si>
  <si>
    <t>"Up To" limits the matching to a percentage of your salary.</t>
  </si>
  <si>
    <t>Example: 50% match up to 6% means if you earn $75,000 and contribute 10% ($7,500),</t>
  </si>
  <si>
    <t xml:space="preserve">  the employer matches 50% of the first 6% ($4,500) = $2,250 per year.</t>
  </si>
  <si>
    <t>Always contribute at least enough to get the full employer match - it is free money.</t>
  </si>
  <si>
    <t>UNDERSTANDING THE RESULTS</t>
  </si>
  <si>
    <t>Projected Balance shows your estimated 401(k) value at retirement.</t>
  </si>
  <si>
    <t>Employer Match Total shows the cumulative free money from your employer.</t>
  </si>
  <si>
    <t>Investment Growth shows how much compound returns added to your account.</t>
  </si>
  <si>
    <t>Monthly Retirement Income uses the 4% rule - a common withdrawal guideline.</t>
  </si>
  <si>
    <t>THE 4% RULE</t>
  </si>
  <si>
    <t>The 4% rule suggests withdrawing 4% of your portfolio in the first year of retirement.</t>
  </si>
  <si>
    <t>This translates to dividing your balance by 25 for annual income, or by 300 for monthly.</t>
  </si>
  <si>
    <t>It is a general guideline, not a guarantee - actual needs depend on many factors.</t>
  </si>
  <si>
    <t>TIPS</t>
  </si>
  <si>
    <t>Increasing your contribution by even 1% can make a significant difference over decades.</t>
  </si>
  <si>
    <t>If you cannot afford the maximum, at least contribute enough to get the full employer match.</t>
  </si>
  <si>
    <t>Salary growth compounds your contributions over time, making early career increases valuable.</t>
  </si>
  <si>
    <t>Consider comparing different return assumptions (5%, 7%, 9%) for a range of outcomes.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</si>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</sst>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A1D26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top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3" fontId="15" fillId="2" borderId="5" xfId="0" applyNumberFormat="1" applyFont="1" applyFill="1" applyBorder="1" applyAlignment="1" applyProtection="1">
      <alignment horizontal="right" vertical="center"/>
      <protection locked="0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9" fontId="15" fillId="2" borderId="5" xfId="0" applyNumberFormat="1" applyFont="1" applyFill="1" applyBorder="1" applyAlignment="1" applyProtection="1">
      <alignment horizontal="right" vertical="center"/>
      <protection locked="0"/>
    </xf>
    <xf numFmtId="9" fontId="15" fillId="2" borderId="5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10" fontId="15" fillId="2" borderId="5" xfId="0" applyNumberFormat="1" applyFont="1" applyFill="1" applyBorder="1" applyAlignment="1" applyProtection="1">
      <alignment horizontal="right" vertical="center"/>
    </xf>
    <xf numFmtId="3" fontId="16" fillId="3" borderId="6" xfId="0" applyNumberFormat="1" applyFont="1" applyFill="1" applyBorder="1" applyAlignment="1" applyProtection="1">
      <alignment horizontal="right" vertical="center"/>
    </xf>
    <xf numFmtId="164" fontId="16" fillId="3" borderId="6" xfId="0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left" vertical="center" wrapText="1" indent="1"/>
    </xf>
    <xf numFmtId="0" fontId="17" fillId="4" borderId="0" xfId="0" applyFont="1" applyFill="1" applyAlignment="1" applyProtection="1">
      <alignment horizontal="center" vertical="center" wrapText="1"/>
    </xf>
    <xf numFmtId="0" fontId="15" fillId="0" borderId="7" xfId="0" applyFont="1" applyBorder="1" applyAlignment="1" applyProtection="1">
      <alignment vertical="center" indent="1"/>
    </xf>
    <xf numFmtId="164" fontId="15" fillId="0" borderId="7" xfId="0" applyNumberFormat="1" applyFont="1" applyBorder="1" applyAlignment="1" applyProtection="1">
      <alignment horizontal="right" vertical="center"/>
    </xf>
    <xf numFmtId="0" fontId="15" fillId="5" borderId="7" xfId="0" applyFont="1" applyFill="1" applyBorder="1" applyAlignment="1" applyProtection="1">
      <alignment vertical="center" indent="1"/>
    </xf>
    <xf numFmtId="164" fontId="15" fillId="5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401(k) Growth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Total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Dashboard!$C$32:$T$32</c:f>
              <c:strCache>
                <c:ptCount val="18"/>
                <c:pt idx="0">
                  <c:v>Age 30</c:v>
                </c:pt>
                <c:pt idx="1">
                  <c:v>Age 32</c:v>
                </c:pt>
                <c:pt idx="2">
                  <c:v>Age 34</c:v>
                </c:pt>
                <c:pt idx="3">
                  <c:v>Age 36</c:v>
                </c:pt>
                <c:pt idx="4">
                  <c:v>Age 38</c:v>
                </c:pt>
                <c:pt idx="5">
                  <c:v>Age 40</c:v>
                </c:pt>
                <c:pt idx="6">
                  <c:v>Age 42</c:v>
                </c:pt>
                <c:pt idx="7">
                  <c:v>Age 44</c:v>
                </c:pt>
                <c:pt idx="8">
                  <c:v>Age 46</c:v>
                </c:pt>
                <c:pt idx="9">
                  <c:v>Age 48</c:v>
                </c:pt>
                <c:pt idx="10">
                  <c:v>Age 50</c:v>
                </c:pt>
                <c:pt idx="11">
                  <c:v>Age 52</c:v>
                </c:pt>
                <c:pt idx="12">
                  <c:v>Age 54</c:v>
                </c:pt>
                <c:pt idx="13">
                  <c:v>Age 56</c:v>
                </c:pt>
                <c:pt idx="14">
                  <c:v>Age 58</c:v>
                </c:pt>
                <c:pt idx="15">
                  <c:v>Age 60</c:v>
                </c:pt>
                <c:pt idx="16">
                  <c:v>Age 62</c:v>
                </c:pt>
                <c:pt idx="17">
                  <c:v>Age 64</c:v>
                </c:pt>
              </c:strCache>
            </c:strRef>
          </c:cat>
          <c:val>
            <c:numRef>
              <c:f>Dashboard!$C$33:$T$33</c:f>
              <c:numCache>
                <c:formatCode>$#,##0</c:formatCode>
                <c:ptCount val="18"/>
                <c:pt idx="0">
                  <c:v>57900</c:v>
                </c:pt>
                <c:pt idx="1">
                  <c:v>87379</c:v>
                </c:pt>
                <c:pt idx="2">
                  <c:v>122414</c:v>
                </c:pt>
                <c:pt idx="3">
                  <c:v>163888</c:v>
                </c:pt>
                <c:pt idx="4">
                  <c:v>212817</c:v>
                </c:pt>
                <c:pt idx="5">
                  <c:v>270369</c:v>
                </c:pt>
                <c:pt idx="6">
                  <c:v>337888</c:v>
                </c:pt>
                <c:pt idx="7">
                  <c:v>416916</c:v>
                </c:pt>
                <c:pt idx="8">
                  <c:v>509226</c:v>
                </c:pt>
                <c:pt idx="9">
                  <c:v>616855</c:v>
                </c:pt>
                <c:pt idx="10">
                  <c:v>742141</c:v>
                </c:pt>
                <c:pt idx="11">
                  <c:v>887766</c:v>
                </c:pt>
                <c:pt idx="12">
                  <c:v>1056813</c:v>
                </c:pt>
                <c:pt idx="13">
                  <c:v>1252815</c:v>
                </c:pt>
                <c:pt idx="14">
                  <c:v>1479829</c:v>
                </c:pt>
                <c:pt idx="15">
                  <c:v>1742507</c:v>
                </c:pt>
                <c:pt idx="16">
                  <c:v>2046185</c:v>
                </c:pt>
                <c:pt idx="17">
                  <c:v>2396984</c:v>
                </c:pt>
              </c:numCache>
            </c:numRef>
          </c:val>
        </c:ser>
        <c:ser>
          <c:idx val="1"/>
          <c:order val="1"/>
          <c:tx>
            <c:strRef>
              <c:f>Dashboard!$B$34</c:f>
              <c:strCache>
                <c:ptCount val="1"/>
                <c:pt idx="0">
                  <c:v>Total Contributed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Dashboard!$C$32:$T$32</c:f>
              <c:strCache>
                <c:ptCount val="18"/>
                <c:pt idx="0">
                  <c:v>Age 30</c:v>
                </c:pt>
                <c:pt idx="1">
                  <c:v>Age 32</c:v>
                </c:pt>
                <c:pt idx="2">
                  <c:v>Age 34</c:v>
                </c:pt>
                <c:pt idx="3">
                  <c:v>Age 36</c:v>
                </c:pt>
                <c:pt idx="4">
                  <c:v>Age 38</c:v>
                </c:pt>
                <c:pt idx="5">
                  <c:v>Age 40</c:v>
                </c:pt>
                <c:pt idx="6">
                  <c:v>Age 42</c:v>
                </c:pt>
                <c:pt idx="7">
                  <c:v>Age 44</c:v>
                </c:pt>
                <c:pt idx="8">
                  <c:v>Age 46</c:v>
                </c:pt>
                <c:pt idx="9">
                  <c:v>Age 48</c:v>
                </c:pt>
                <c:pt idx="10">
                  <c:v>Age 50</c:v>
                </c:pt>
                <c:pt idx="11">
                  <c:v>Age 52</c:v>
                </c:pt>
                <c:pt idx="12">
                  <c:v>Age 54</c:v>
                </c:pt>
                <c:pt idx="13">
                  <c:v>Age 56</c:v>
                </c:pt>
                <c:pt idx="14">
                  <c:v>Age 58</c:v>
                </c:pt>
                <c:pt idx="15">
                  <c:v>Age 60</c:v>
                </c:pt>
                <c:pt idx="16">
                  <c:v>Age 62</c:v>
                </c:pt>
                <c:pt idx="17">
                  <c:v>Age 64</c:v>
                </c:pt>
              </c:strCache>
            </c:strRef>
          </c:cat>
          <c:val>
            <c:numRef>
              <c:f>Dashboard!$C$34:$T$34</c:f>
              <c:numCache>
                <c:formatCode>$#,##0</c:formatCode>
                <c:ptCount val="18"/>
                <c:pt idx="0">
                  <c:v>54750</c:v>
                </c:pt>
                <c:pt idx="1">
                  <c:v>75137</c:v>
                </c:pt>
                <c:pt idx="2">
                  <c:v>96765</c:v>
                </c:pt>
                <c:pt idx="3">
                  <c:v>119709</c:v>
                </c:pt>
                <c:pt idx="4">
                  <c:v>144051</c:v>
                </c:pt>
                <c:pt idx="5">
                  <c:v>169876</c:v>
                </c:pt>
                <c:pt idx="6">
                  <c:v>197273</c:v>
                </c:pt>
                <c:pt idx="7">
                  <c:v>226340</c:v>
                </c:pt>
                <c:pt idx="8">
                  <c:v>257176</c:v>
                </c:pt>
                <c:pt idx="9">
                  <c:v>289890</c:v>
                </c:pt>
                <c:pt idx="10">
                  <c:v>324596</c:v>
                </c:pt>
                <c:pt idx="11">
                  <c:v>361416</c:v>
                </c:pt>
                <c:pt idx="12">
                  <c:v>400477</c:v>
                </c:pt>
                <c:pt idx="13">
                  <c:v>441919</c:v>
                </c:pt>
                <c:pt idx="14">
                  <c:v>485883</c:v>
                </c:pt>
                <c:pt idx="15">
                  <c:v>532526</c:v>
                </c:pt>
                <c:pt idx="16">
                  <c:v>582009</c:v>
                </c:pt>
                <c:pt idx="17">
                  <c:v>634506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T3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8" x14ac:dyDescent="0.25">
      <c r="B4" s="4" t="s">
        <v>3</v>
      </c>
      <c r="C4" s="4"/>
      <c r="D4" s="4"/>
      <c r="F4" s="4" t="s">
        <v>4</v>
      </c>
      <c r="G4" s="4"/>
      <c r="H4" s="4"/>
    </row>
    <row r="5" ht="48" customHeight="1" spans="2:8" x14ac:dyDescent="0.25">
      <c r="B5" s="5">
        <f>'401k Setup'!C19</f>
        <v>2396984</v>
      </c>
      <c r="C5" s="5"/>
      <c r="D5" s="5"/>
      <c r="F5" s="5">
        <f>'401k Setup'!C21</f>
        <v>136040</v>
      </c>
      <c r="G5" s="5"/>
      <c r="H5" s="5"/>
    </row>
    <row r="6" ht="20" customHeight="1" spans="2:8" x14ac:dyDescent="0.25">
      <c r="B6" s="6" t="s">
        <v>5</v>
      </c>
      <c r="C6" s="6"/>
      <c r="D6" s="6"/>
      <c r="F6" s="6" t="s">
        <v>6</v>
      </c>
      <c r="G6" s="6"/>
      <c r="H6" s="6"/>
    </row>
    <row r="7" ht="8" customHeight="1" x14ac:dyDescent="0.25"/>
    <row r="8" ht="22" customHeight="1" spans="2:8" x14ac:dyDescent="0.25">
      <c r="B8" s="4" t="s">
        <v>7</v>
      </c>
      <c r="C8" s="4"/>
      <c r="D8" s="4"/>
      <c r="F8" s="4" t="s">
        <v>8</v>
      </c>
      <c r="G8" s="4"/>
      <c r="H8" s="4"/>
    </row>
    <row r="9" ht="48" customHeight="1" spans="2:8" x14ac:dyDescent="0.25">
      <c r="B9" s="7">
        <f>'401k Setup'!C22</f>
        <v>1762479</v>
      </c>
      <c r="C9" s="7"/>
      <c r="D9" s="7"/>
      <c r="F9" s="5">
        <f>'401k Setup'!C23</f>
        <v>7990</v>
      </c>
      <c r="G9" s="5"/>
      <c r="H9" s="5"/>
    </row>
    <row r="10" ht="20" customHeight="1" spans="2:8" x14ac:dyDescent="0.25">
      <c r="B10" s="6" t="s">
        <v>9</v>
      </c>
      <c r="C10" s="6"/>
      <c r="D10" s="6"/>
      <c r="F10" s="6" t="s">
        <v>10</v>
      </c>
      <c r="G10" s="6"/>
      <c r="H10" s="6"/>
    </row>
    <row r="11" ht="14" customHeight="1" x14ac:dyDescent="0.25"/>
    <row r="12" ht="28" customHeight="1" spans="2:9" x14ac:dyDescent="0.25">
      <c r="B12" s="8" t="s">
        <v>11</v>
      </c>
      <c r="C12" s="9"/>
      <c r="D12" s="9"/>
      <c r="E12" s="9"/>
      <c r="F12" s="9"/>
      <c r="G12" s="9"/>
      <c r="H12" s="9"/>
      <c r="I12" s="9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0" t="s">
        <v>12</v>
      </c>
      <c r="B30" s="10"/>
      <c r="C30" s="10"/>
      <c r="D30" s="10"/>
      <c r="E30" s="10"/>
      <c r="F30" s="10"/>
      <c r="G30" s="10"/>
      <c r="H30" s="10"/>
      <c r="I30" s="10"/>
    </row>
    <row r="31" ht="20" customHeight="1" spans="1:9" x14ac:dyDescent="0.25">
      <c r="A31" s="11" t="s">
        <v>13</v>
      </c>
      <c r="B31" s="11"/>
      <c r="C31" s="11"/>
      <c r="D31" s="11"/>
      <c r="E31" s="11"/>
      <c r="F31" s="11"/>
      <c r="G31" s="11"/>
      <c r="H31" s="11"/>
      <c r="I31" s="11"/>
    </row>
    <row r="32" ht="1" customHeight="1" spans="2:20" x14ac:dyDescent="0.25">
      <c r="B32" s="12" t="s">
        <v>14</v>
      </c>
      <c r="C32" s="12" t="s">
        <v>15</v>
      </c>
      <c r="D32" s="12" t="s">
        <v>16</v>
      </c>
      <c r="E32" s="12" t="s">
        <v>17</v>
      </c>
      <c r="F32" s="12" t="s">
        <v>18</v>
      </c>
      <c r="G32" s="12" t="s">
        <v>19</v>
      </c>
      <c r="H32" s="12" t="s">
        <v>20</v>
      </c>
      <c r="I32" s="12" t="s">
        <v>21</v>
      </c>
      <c r="J32" s="12" t="s">
        <v>22</v>
      </c>
      <c r="K32" s="12" t="s">
        <v>23</v>
      </c>
      <c r="L32" s="12" t="s">
        <v>24</v>
      </c>
      <c r="M32" s="12" t="s">
        <v>25</v>
      </c>
      <c r="N32" s="12" t="s">
        <v>26</v>
      </c>
      <c r="O32" s="12" t="s">
        <v>27</v>
      </c>
      <c r="P32" s="12" t="s">
        <v>28</v>
      </c>
      <c r="Q32" s="12" t="s">
        <v>29</v>
      </c>
      <c r="R32" s="12" t="s">
        <v>30</v>
      </c>
      <c r="S32" s="12" t="s">
        <v>31</v>
      </c>
      <c r="T32" s="12" t="s">
        <v>32</v>
      </c>
    </row>
    <row r="33" ht="1" customHeight="1" spans="2:20" x14ac:dyDescent="0.25">
      <c r="B33" s="12" t="s">
        <v>33</v>
      </c>
      <c r="C33" s="12">
        <f>IFERROR('Projection Table'!G5,0)</f>
        <v>57900</v>
      </c>
      <c r="D33" s="12">
        <f>IFERROR('Projection Table'!G7,0)</f>
        <v>87379</v>
      </c>
      <c r="E33" s="12">
        <f>IFERROR('Projection Table'!G9,0)</f>
        <v>122414</v>
      </c>
      <c r="F33" s="12">
        <f>IFERROR('Projection Table'!G11,0)</f>
        <v>163888</v>
      </c>
      <c r="G33" s="12">
        <f>IFERROR('Projection Table'!G13,0)</f>
        <v>212817</v>
      </c>
      <c r="H33" s="12">
        <f>IFERROR('Projection Table'!G15,0)</f>
        <v>270369</v>
      </c>
      <c r="I33" s="12">
        <f>IFERROR('Projection Table'!G17,0)</f>
        <v>337888</v>
      </c>
      <c r="J33" s="12">
        <f>IFERROR('Projection Table'!G19,0)</f>
        <v>416916</v>
      </c>
      <c r="K33" s="12">
        <f>IFERROR('Projection Table'!G21,0)</f>
        <v>509226</v>
      </c>
      <c r="L33" s="12">
        <f>IFERROR('Projection Table'!G23,0)</f>
        <v>616855</v>
      </c>
      <c r="M33" s="12">
        <f>IFERROR('Projection Table'!G25,0)</f>
        <v>742141</v>
      </c>
      <c r="N33" s="12">
        <f>IFERROR('Projection Table'!G27,0)</f>
        <v>887766</v>
      </c>
      <c r="O33" s="12">
        <f>IFERROR('Projection Table'!G29,0)</f>
        <v>1056813</v>
      </c>
      <c r="P33" s="12">
        <f>IFERROR('Projection Table'!G31,0)</f>
        <v>1252815</v>
      </c>
      <c r="Q33" s="12">
        <f>IFERROR('Projection Table'!G33,0)</f>
        <v>1479829</v>
      </c>
      <c r="R33" s="12">
        <f>IFERROR('Projection Table'!G35,0)</f>
        <v>1742507</v>
      </c>
      <c r="S33" s="12">
        <f>IFERROR('Projection Table'!G37,0)</f>
        <v>2046185</v>
      </c>
      <c r="T33" s="12">
        <f>IFERROR('Projection Table'!G39,0)</f>
        <v>2396984</v>
      </c>
    </row>
    <row r="34" ht="1" customHeight="1" spans="2:20" x14ac:dyDescent="0.25">
      <c r="B34" s="12" t="s">
        <v>34</v>
      </c>
      <c r="C34" s="12">
        <f>IFERROR('Projection Table'!H5+'Projection Table'!I5+'401k Setup'!C7,0)</f>
        <v>54750</v>
      </c>
      <c r="D34" s="12">
        <f>IFERROR('Projection Table'!H7+'Projection Table'!I7+'401k Setup'!C7,0)</f>
        <v>75137</v>
      </c>
      <c r="E34" s="12">
        <f>IFERROR('Projection Table'!H9+'Projection Table'!I9+'401k Setup'!C7,0)</f>
        <v>96765</v>
      </c>
      <c r="F34" s="12">
        <f>IFERROR('Projection Table'!H11+'Projection Table'!I11+'401k Setup'!C7,0)</f>
        <v>119709</v>
      </c>
      <c r="G34" s="12">
        <f>IFERROR('Projection Table'!H13+'Projection Table'!I13+'401k Setup'!C7,0)</f>
        <v>144051</v>
      </c>
      <c r="H34" s="12">
        <f>IFERROR('Projection Table'!H15+'Projection Table'!I15+'401k Setup'!C7,0)</f>
        <v>169876</v>
      </c>
      <c r="I34" s="12">
        <f>IFERROR('Projection Table'!H17+'Projection Table'!I17+'401k Setup'!C7,0)</f>
        <v>197273</v>
      </c>
      <c r="J34" s="12">
        <f>IFERROR('Projection Table'!H19+'Projection Table'!I19+'401k Setup'!C7,0)</f>
        <v>226340</v>
      </c>
      <c r="K34" s="12">
        <f>IFERROR('Projection Table'!H21+'Projection Table'!I21+'401k Setup'!C7,0)</f>
        <v>257176</v>
      </c>
      <c r="L34" s="12">
        <f>IFERROR('Projection Table'!H23+'Projection Table'!I23+'401k Setup'!C7,0)</f>
        <v>289890</v>
      </c>
      <c r="M34" s="12">
        <f>IFERROR('Projection Table'!H25+'Projection Table'!I25+'401k Setup'!C7,0)</f>
        <v>324596</v>
      </c>
      <c r="N34" s="12">
        <f>IFERROR('Projection Table'!H27+'Projection Table'!I27+'401k Setup'!C7,0)</f>
        <v>361416</v>
      </c>
      <c r="O34" s="12">
        <f>IFERROR('Projection Table'!H29+'Projection Table'!I29+'401k Setup'!C7,0)</f>
        <v>400477</v>
      </c>
      <c r="P34" s="12">
        <f>IFERROR('Projection Table'!H31+'Projection Table'!I31+'401k Setup'!C7,0)</f>
        <v>441919</v>
      </c>
      <c r="Q34" s="12">
        <f>IFERROR('Projection Table'!H33+'Projection Table'!I33+'401k Setup'!C7,0)</f>
        <v>485883</v>
      </c>
      <c r="R34" s="12">
        <f>IFERROR('Projection Table'!H35+'Projection Table'!I35+'401k Setup'!C7,0)</f>
        <v>532526</v>
      </c>
      <c r="S34" s="12">
        <f>IFERROR('Projection Table'!H37+'Projection Table'!I37+'401k Setup'!C7,0)</f>
        <v>582009</v>
      </c>
      <c r="T34" s="12">
        <f>IFERROR('Projection Table'!H39+'Projection Table'!I39+'401k Setup'!C7,0)</f>
        <v>634506</v>
      </c>
    </row>
  </sheetData>
  <sheetProtection sheet="1"/>
  <mergeCells count="17">
    <mergeCell ref="B1:I1"/>
    <mergeCell ref="B2:F2"/>
    <mergeCell ref="G2:I2"/>
    <mergeCell ref="B4:D4"/>
    <mergeCell ref="F4:H4"/>
    <mergeCell ref="B5:D5"/>
    <mergeCell ref="F5:H5"/>
    <mergeCell ref="B6:D6"/>
    <mergeCell ref="F6:H6"/>
    <mergeCell ref="B8:D8"/>
    <mergeCell ref="F8:H8"/>
    <mergeCell ref="B9:D9"/>
    <mergeCell ref="F9:H9"/>
    <mergeCell ref="B10:D10"/>
    <mergeCell ref="F10:H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9"/>
  <sheetViews>
    <sheetView workbookViewId="0" showGridLines="0" zoomScale="125"/>
  </sheetViews>
  <sheetFormatPr defaultRowHeight="15" outlineLevelRow="0" outlineLevelCol="0" x14ac:dyDescent="55"/>
  <cols>
    <col min="1" max="1" width="32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3" t="s">
        <v>35</v>
      </c>
      <c r="B1" s="13"/>
      <c r="C1" s="13"/>
      <c r="D1" s="13"/>
    </row>
    <row r="2" ht="24" customHeight="1" spans="1:4" x14ac:dyDescent="0.25">
      <c r="A2" s="14" t="s">
        <v>36</v>
      </c>
      <c r="B2" s="14"/>
      <c r="C2" s="14"/>
      <c r="D2" s="14"/>
    </row>
    <row r="3" ht="14" customHeight="1" x14ac:dyDescent="0.25"/>
    <row r="4" ht="28" customHeight="1" spans="1:4" x14ac:dyDescent="0.25">
      <c r="A4" s="8" t="s">
        <v>37</v>
      </c>
      <c r="B4" s="9"/>
      <c r="C4" s="9"/>
      <c r="D4" s="9"/>
    </row>
    <row r="5" ht="26" customHeight="1" spans="1:4" x14ac:dyDescent="0.25">
      <c r="A5" s="15" t="s">
        <v>38</v>
      </c>
      <c r="C5" s="16">
        <v>30</v>
      </c>
      <c r="D5" s="14" t="s">
        <v>39</v>
      </c>
    </row>
    <row r="6" ht="26" customHeight="1" spans="1:4" x14ac:dyDescent="0.25">
      <c r="A6" s="15" t="s">
        <v>40</v>
      </c>
      <c r="C6" s="16">
        <v>65</v>
      </c>
      <c r="D6" s="14" t="s">
        <v>41</v>
      </c>
    </row>
    <row r="7" ht="26" customHeight="1" spans="1:4" x14ac:dyDescent="0.25">
      <c r="A7" s="15" t="s">
        <v>42</v>
      </c>
      <c r="C7" s="17">
        <v>45000</v>
      </c>
      <c r="D7" s="14" t="s">
        <v>43</v>
      </c>
    </row>
    <row r="8" ht="14" customHeight="1" x14ac:dyDescent="0.25"/>
    <row r="9" ht="28" customHeight="1" spans="1:4" x14ac:dyDescent="0.25">
      <c r="A9" s="8" t="s">
        <v>44</v>
      </c>
      <c r="B9" s="9"/>
      <c r="C9" s="18"/>
      <c r="D9" s="9"/>
    </row>
    <row r="10" ht="26" customHeight="1" spans="1:4" x14ac:dyDescent="0.25">
      <c r="A10" s="15" t="s">
        <v>45</v>
      </c>
      <c r="C10" s="17">
        <v>75000</v>
      </c>
      <c r="D10" s="14" t="s">
        <v>46</v>
      </c>
    </row>
    <row r="11" ht="26" customHeight="1" spans="1:4" x14ac:dyDescent="0.25">
      <c r="A11" s="15" t="s">
        <v>47</v>
      </c>
      <c r="C11" s="19">
        <v>0.1</v>
      </c>
      <c r="D11" s="14" t="s">
        <v>48</v>
      </c>
    </row>
    <row r="12" ht="26" customHeight="1" spans="1:4" x14ac:dyDescent="0.25">
      <c r="A12" s="15" t="s">
        <v>49</v>
      </c>
      <c r="C12" s="19">
        <v>0.5</v>
      </c>
      <c r="D12" s="14" t="s">
        <v>50</v>
      </c>
    </row>
    <row r="13" ht="26" customHeight="1" spans="1:4" x14ac:dyDescent="0.25">
      <c r="A13" s="15" t="s">
        <v>51</v>
      </c>
      <c r="C13" s="20">
        <v>0.06</v>
      </c>
      <c r="D13" s="14" t="s">
        <v>52</v>
      </c>
    </row>
    <row r="14" ht="14" customHeight="1" spans="3:3" x14ac:dyDescent="0.25">
      <c r="C14" s="21"/>
    </row>
    <row r="15" ht="28" customHeight="1" spans="1:4" x14ac:dyDescent="0.25">
      <c r="A15" s="8" t="s">
        <v>53</v>
      </c>
      <c r="B15" s="9"/>
      <c r="C15" s="18"/>
      <c r="D15" s="9"/>
    </row>
    <row r="16" ht="26" customHeight="1" spans="1:4" x14ac:dyDescent="0.25">
      <c r="A16" s="15" t="s">
        <v>54</v>
      </c>
      <c r="C16" s="22">
        <v>0.07</v>
      </c>
      <c r="D16" s="14" t="s">
        <v>55</v>
      </c>
    </row>
    <row r="17" ht="26" customHeight="1" spans="1:4" x14ac:dyDescent="0.25">
      <c r="A17" s="15" t="s">
        <v>56</v>
      </c>
      <c r="C17" s="22">
        <v>0.03</v>
      </c>
      <c r="D17" s="14" t="s">
        <v>57</v>
      </c>
    </row>
    <row r="18" ht="14" customHeight="1" x14ac:dyDescent="0.25"/>
    <row r="19" ht="28" customHeight="1" spans="1:4" x14ac:dyDescent="0.25">
      <c r="A19" s="8" t="s">
        <v>58</v>
      </c>
      <c r="B19" s="9"/>
      <c r="C19" s="9"/>
      <c r="D19" s="9"/>
    </row>
    <row r="20" ht="26" customHeight="1" spans="1:3" x14ac:dyDescent="0.25">
      <c r="A20" s="15" t="s">
        <v>59</v>
      </c>
      <c r="C20" s="23">
        <f>C6-C5</f>
        <v>35</v>
      </c>
    </row>
    <row r="21" ht="26" customHeight="1" spans="1:3" x14ac:dyDescent="0.25">
      <c r="A21" s="15" t="s">
        <v>60</v>
      </c>
      <c r="C21" s="24">
        <f>IFERROR(INDEX('Projection Table'!G:G,5+C6-C5-1),0)</f>
        <v>2396984</v>
      </c>
    </row>
    <row r="22" ht="26" customHeight="1" spans="1:3" x14ac:dyDescent="0.25">
      <c r="A22" s="15" t="s">
        <v>61</v>
      </c>
      <c r="C22" s="24">
        <f>IFERROR(INDEX('Projection Table'!H:H,5+C6-C5-1),0)</f>
        <v>453466</v>
      </c>
    </row>
    <row r="23" ht="26" customHeight="1" spans="1:3" x14ac:dyDescent="0.25">
      <c r="A23" s="15" t="s">
        <v>62</v>
      </c>
      <c r="C23" s="24">
        <f>IFERROR(INDEX('Projection Table'!I:I,5+C6-C5-1),0)</f>
        <v>136040</v>
      </c>
    </row>
    <row r="24" ht="26" customHeight="1" spans="1:3" x14ac:dyDescent="0.25">
      <c r="A24" s="15" t="s">
        <v>63</v>
      </c>
      <c r="C24" s="24">
        <f>C19-C20-C21-C7</f>
        <v>1762479</v>
      </c>
    </row>
    <row r="25" ht="26" customHeight="1" spans="1:3" x14ac:dyDescent="0.25">
      <c r="A25" s="15" t="s">
        <v>64</v>
      </c>
      <c r="C25" s="24">
        <f>ROUND(C19*0.04/12,0)</f>
        <v>7990</v>
      </c>
    </row>
    <row r="26" ht="14" customHeight="1" x14ac:dyDescent="0.25"/>
    <row r="27" ht="6" customHeight="1" x14ac:dyDescent="0.25"/>
    <row r="28" ht="20" customHeight="1" spans="1:4" x14ac:dyDescent="0.25">
      <c r="A28" s="10" t="s">
        <v>12</v>
      </c>
      <c r="B28" s="10"/>
      <c r="C28" s="10"/>
      <c r="D28" s="10"/>
    </row>
    <row r="29" ht="20" customHeight="1" spans="1:4" x14ac:dyDescent="0.25">
      <c r="A29" s="11" t="s">
        <v>13</v>
      </c>
      <c r="B29" s="11"/>
      <c r="C29" s="11"/>
      <c r="D29" s="11"/>
    </row>
  </sheetData>
  <sheetProtection sheet="1"/>
  <mergeCells count="4">
    <mergeCell ref="A1:D1"/>
    <mergeCell ref="A2:D2"/>
    <mergeCell ref="A28:D28"/>
    <mergeCell ref="A29:D29"/>
  </mergeCells>
  <hyperlinks>
    <hyperlink ref="A2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53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8" customWidth="1"/>
    <col min="3" max="6" width="14" customWidth="1"/>
    <col min="7" max="7" width="16" customWidth="1"/>
    <col min="8" max="9" width="14" customWidth="1"/>
  </cols>
  <sheetData>
    <row r="1" ht="48" customHeight="1" spans="1:9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</row>
    <row r="2" ht="24" customHeight="1" spans="1:9" x14ac:dyDescent="0.25">
      <c r="A2" s="14" t="s">
        <v>66</v>
      </c>
      <c r="B2" s="14"/>
      <c r="C2" s="14"/>
      <c r="D2" s="14"/>
      <c r="E2" s="14"/>
      <c r="F2" s="14"/>
      <c r="G2" s="14"/>
      <c r="H2" s="14"/>
      <c r="I2" s="14"/>
    </row>
    <row r="3" ht="14" customHeight="1" x14ac:dyDescent="0.25"/>
    <row r="4" ht="32" customHeight="1" spans="1:9" x14ac:dyDescent="0.25">
      <c r="A4" s="25" t="s">
        <v>67</v>
      </c>
      <c r="B4" s="26" t="s">
        <v>68</v>
      </c>
      <c r="C4" s="26" t="s">
        <v>69</v>
      </c>
      <c r="D4" s="26" t="s">
        <v>70</v>
      </c>
      <c r="E4" s="26" t="s">
        <v>71</v>
      </c>
      <c r="F4" s="26" t="s">
        <v>72</v>
      </c>
      <c r="G4" s="26" t="s">
        <v>73</v>
      </c>
      <c r="H4" s="26" t="s">
        <v>74</v>
      </c>
      <c r="I4" s="26" t="s">
        <v>75</v>
      </c>
    </row>
    <row r="5" ht="26" customHeight="1" spans="1:9" x14ac:dyDescent="0.25">
      <c r="A5" s="27">
        <f>IF('401k Setup'!C6-'401k Setup'!C5&gt;=1,1,"")</f>
        <v>1</v>
      </c>
      <c r="B5" s="27">
        <f>IF(A5="","",'401k Setup'!C5+0)</f>
        <v>30</v>
      </c>
      <c r="C5" s="28">
        <f>IF(A5="","",'401k Setup'!C9)</f>
        <v>75000</v>
      </c>
      <c r="D5" s="28">
        <f>IF(A5="","",C5*'401k Setup'!C10)</f>
        <v>7500</v>
      </c>
      <c r="E5" s="28">
        <f>IF(A5="","",MIN(D5,C5*'401k Setup'!C12)*'401k Setup'!C11)</f>
        <v>2250</v>
      </c>
      <c r="F5" s="28">
        <f>IF(A5="","",'401k Setup'!C7*'401k Setup'!C14)</f>
        <v>3150</v>
      </c>
      <c r="G5" s="28">
        <f>IF(A5="","",'401k Setup'!C7+D5+E5+F5)</f>
        <v>57900</v>
      </c>
      <c r="H5" s="28">
        <f>IF(A5="","",D5)</f>
        <v>7500</v>
      </c>
      <c r="I5" s="28">
        <f>IF(A5="","",E5)</f>
        <v>2250</v>
      </c>
    </row>
    <row r="6" ht="26" customHeight="1" spans="1:9" x14ac:dyDescent="0.25">
      <c r="A6" s="29">
        <f>IF('401k Setup'!C6-'401k Setup'!C5&gt;=2,2,"")</f>
        <v>2</v>
      </c>
      <c r="B6" s="29">
        <f>IF(A6="","",'401k Setup'!C5+1)</f>
        <v>31</v>
      </c>
      <c r="C6" s="30">
        <f>IF(A6="","",C5*(1+'401k Setup'!C15))</f>
        <v>77250</v>
      </c>
      <c r="D6" s="30">
        <f>IF(A6="","",C6*'401k Setup'!C10)</f>
        <v>7725</v>
      </c>
      <c r="E6" s="30">
        <f>IF(A6="","",MIN(D6,C6*'401k Setup'!C12)*'401k Setup'!C11)</f>
        <v>2318</v>
      </c>
      <c r="F6" s="30">
        <f>IF(A6="","",G5*'401k Setup'!C14)</f>
        <v>4053</v>
      </c>
      <c r="G6" s="30">
        <f>IF(A6="","",G5+D6+E6+F6)</f>
        <v>71996</v>
      </c>
      <c r="H6" s="30">
        <f>IF(A6="","",H5+D6)</f>
        <v>15225</v>
      </c>
      <c r="I6" s="30">
        <f>IF(A6="","",I5+E6)</f>
        <v>4568</v>
      </c>
    </row>
    <row r="7" ht="26" customHeight="1" spans="1:9" x14ac:dyDescent="0.25">
      <c r="A7" s="27">
        <f>IF('401k Setup'!C6-'401k Setup'!C5&gt;=3,3,"")</f>
        <v>3</v>
      </c>
      <c r="B7" s="27">
        <f>IF(A7="","",'401k Setup'!C5+2)</f>
        <v>32</v>
      </c>
      <c r="C7" s="28">
        <f>IF(A7="","",C6*(1+'401k Setup'!C15))</f>
        <v>79568</v>
      </c>
      <c r="D7" s="28">
        <f>IF(A7="","",C7*'401k Setup'!C10)</f>
        <v>7957</v>
      </c>
      <c r="E7" s="28">
        <f>IF(A7="","",MIN(D7,C7*'401k Setup'!C12)*'401k Setup'!C11)</f>
        <v>2387</v>
      </c>
      <c r="F7" s="28">
        <f>IF(A7="","",G6*'401k Setup'!C14)</f>
        <v>5040</v>
      </c>
      <c r="G7" s="28">
        <f>IF(A7="","",G6+D7+E7+F7)</f>
        <v>87379</v>
      </c>
      <c r="H7" s="28">
        <f>IF(A7="","",H6+D7)</f>
        <v>23182</v>
      </c>
      <c r="I7" s="28">
        <f>IF(A7="","",I6+E7)</f>
        <v>6955</v>
      </c>
    </row>
    <row r="8" ht="26" customHeight="1" spans="1:9" x14ac:dyDescent="0.25">
      <c r="A8" s="29">
        <f>IF('401k Setup'!C6-'401k Setup'!C5&gt;=4,4,"")</f>
        <v>4</v>
      </c>
      <c r="B8" s="29">
        <f>IF(A8="","",'401k Setup'!C5+3)</f>
        <v>33</v>
      </c>
      <c r="C8" s="30">
        <f>IF(A8="","",C7*(1+'401k Setup'!C15))</f>
        <v>81955</v>
      </c>
      <c r="D8" s="30">
        <f>IF(A8="","",C8*'401k Setup'!C10)</f>
        <v>8195</v>
      </c>
      <c r="E8" s="30">
        <f>IF(A8="","",MIN(D8,C8*'401k Setup'!C12)*'401k Setup'!C11)</f>
        <v>2459</v>
      </c>
      <c r="F8" s="30">
        <f>IF(A8="","",G7*'401k Setup'!C14)</f>
        <v>6117</v>
      </c>
      <c r="G8" s="30">
        <f>IF(A8="","",G7+D8+E8+F8)</f>
        <v>104150</v>
      </c>
      <c r="H8" s="30">
        <f>IF(A8="","",H7+D8)</f>
        <v>31377</v>
      </c>
      <c r="I8" s="30">
        <f>IF(A8="","",I7+E8)</f>
        <v>9413</v>
      </c>
    </row>
    <row r="9" ht="26" customHeight="1" spans="1:9" x14ac:dyDescent="0.25">
      <c r="A9" s="27">
        <f>IF('401k Setup'!C6-'401k Setup'!C5&gt;=5,5,"")</f>
        <v>5</v>
      </c>
      <c r="B9" s="27">
        <f>IF(A9="","",'401k Setup'!C5+4)</f>
        <v>34</v>
      </c>
      <c r="C9" s="28">
        <f>IF(A9="","",C8*(1+'401k Setup'!C15))</f>
        <v>84413</v>
      </c>
      <c r="D9" s="28">
        <f>IF(A9="","",C9*'401k Setup'!C10)</f>
        <v>8441</v>
      </c>
      <c r="E9" s="28">
        <f>IF(A9="","",MIN(D9,C9*'401k Setup'!C12)*'401k Setup'!C11)</f>
        <v>2532</v>
      </c>
      <c r="F9" s="28">
        <f>IF(A9="","",G8*'401k Setup'!C14)</f>
        <v>7290</v>
      </c>
      <c r="G9" s="28">
        <f>IF(A9="","",G8+D9+E9+F9)</f>
        <v>122414</v>
      </c>
      <c r="H9" s="28">
        <f>IF(A9="","",H8+D9)</f>
        <v>39819</v>
      </c>
      <c r="I9" s="28">
        <f>IF(A9="","",I8+E9)</f>
        <v>11946</v>
      </c>
    </row>
    <row r="10" ht="26" customHeight="1" spans="1:9" x14ac:dyDescent="0.25">
      <c r="A10" s="29">
        <f>IF('401k Setup'!C6-'401k Setup'!C5&gt;=6,6,"")</f>
        <v>6</v>
      </c>
      <c r="B10" s="29">
        <f>IF(A10="","",'401k Setup'!C5+5)</f>
        <v>35</v>
      </c>
      <c r="C10" s="30">
        <f>IF(A10="","",C9*(1+'401k Setup'!C15))</f>
        <v>86946</v>
      </c>
      <c r="D10" s="30">
        <f>IF(A10="","",C10*'401k Setup'!C10)</f>
        <v>8695</v>
      </c>
      <c r="E10" s="30">
        <f>IF(A10="","",MIN(D10,C10*'401k Setup'!C12)*'401k Setup'!C11)</f>
        <v>2608</v>
      </c>
      <c r="F10" s="30">
        <f>IF(A10="","",G9*'401k Setup'!C14)</f>
        <v>8569</v>
      </c>
      <c r="G10" s="30">
        <f>IF(A10="","",G9+D10+E10+F10)</f>
        <v>142286</v>
      </c>
      <c r="H10" s="30">
        <f>IF(A10="","",H9+D10)</f>
        <v>48513</v>
      </c>
      <c r="I10" s="30">
        <f>IF(A10="","",I9+E10)</f>
        <v>14554</v>
      </c>
    </row>
    <row r="11" ht="26" customHeight="1" spans="1:9" x14ac:dyDescent="0.25">
      <c r="A11" s="27">
        <f>IF('401k Setup'!C6-'401k Setup'!C5&gt;=7,7,"")</f>
        <v>7</v>
      </c>
      <c r="B11" s="27">
        <f>IF(A11="","",'401k Setup'!C5+6)</f>
        <v>36</v>
      </c>
      <c r="C11" s="28">
        <f>IF(A11="","",C10*(1+'401k Setup'!C15))</f>
        <v>89554</v>
      </c>
      <c r="D11" s="28">
        <f>IF(A11="","",C11*'401k Setup'!C10)</f>
        <v>8955</v>
      </c>
      <c r="E11" s="28">
        <f>IF(A11="","",MIN(D11,C11*'401k Setup'!C12)*'401k Setup'!C11)</f>
        <v>2687</v>
      </c>
      <c r="F11" s="28">
        <f>IF(A11="","",G10*'401k Setup'!C14)</f>
        <v>9960</v>
      </c>
      <c r="G11" s="28">
        <f>IF(A11="","",G10+D11+E11+F11)</f>
        <v>163888</v>
      </c>
      <c r="H11" s="28">
        <f>IF(A11="","",H10+D11)</f>
        <v>57468</v>
      </c>
      <c r="I11" s="28">
        <f>IF(A11="","",I10+E11)</f>
        <v>17241</v>
      </c>
    </row>
    <row r="12" ht="26" customHeight="1" spans="1:9" x14ac:dyDescent="0.25">
      <c r="A12" s="29">
        <f>IF('401k Setup'!C6-'401k Setup'!C5&gt;=8,8,"")</f>
        <v>8</v>
      </c>
      <c r="B12" s="29">
        <f>IF(A12="","",'401k Setup'!C5+7)</f>
        <v>37</v>
      </c>
      <c r="C12" s="30">
        <f>IF(A12="","",C11*(1+'401k Setup'!C15))</f>
        <v>92241</v>
      </c>
      <c r="D12" s="30">
        <f>IF(A12="","",C12*'401k Setup'!C10)</f>
        <v>9224</v>
      </c>
      <c r="E12" s="30">
        <f>IF(A12="","",MIN(D12,C12*'401k Setup'!C12)*'401k Setup'!C11)</f>
        <v>2767</v>
      </c>
      <c r="F12" s="30">
        <f>IF(A12="","",G11*'401k Setup'!C14)</f>
        <v>11472</v>
      </c>
      <c r="G12" s="30">
        <f>IF(A12="","",G11+D12+E12+F12)</f>
        <v>187351</v>
      </c>
      <c r="H12" s="30">
        <f>IF(A12="","",H11+D12)</f>
        <v>66693</v>
      </c>
      <c r="I12" s="30">
        <f>IF(A12="","",I11+E12)</f>
        <v>20008</v>
      </c>
    </row>
    <row r="13" ht="26" customHeight="1" spans="1:9" x14ac:dyDescent="0.25">
      <c r="A13" s="27">
        <f>IF('401k Setup'!C6-'401k Setup'!C5&gt;=9,9,"")</f>
        <v>9</v>
      </c>
      <c r="B13" s="27">
        <f>IF(A13="","",'401k Setup'!C5+8)</f>
        <v>38</v>
      </c>
      <c r="C13" s="28">
        <f>IF(A13="","",C12*(1+'401k Setup'!C15))</f>
        <v>95008</v>
      </c>
      <c r="D13" s="28">
        <f>IF(A13="","",C13*'401k Setup'!C10)</f>
        <v>9501</v>
      </c>
      <c r="E13" s="28">
        <f>IF(A13="","",MIN(D13,C13*'401k Setup'!C12)*'401k Setup'!C11)</f>
        <v>2850</v>
      </c>
      <c r="F13" s="28">
        <f>IF(A13="","",G12*'401k Setup'!C14)</f>
        <v>13115</v>
      </c>
      <c r="G13" s="28">
        <f>IF(A13="","",G12+D13+E13+F13)</f>
        <v>212817</v>
      </c>
      <c r="H13" s="28">
        <f>IF(A13="","",H12+D13)</f>
        <v>76193</v>
      </c>
      <c r="I13" s="28">
        <f>IF(A13="","",I12+E13)</f>
        <v>22858</v>
      </c>
    </row>
    <row r="14" ht="26" customHeight="1" spans="1:9" x14ac:dyDescent="0.25">
      <c r="A14" s="29">
        <f>IF('401k Setup'!C6-'401k Setup'!C5&gt;=10,10,"")</f>
        <v>10</v>
      </c>
      <c r="B14" s="29">
        <f>IF(A14="","",'401k Setup'!C5+9)</f>
        <v>39</v>
      </c>
      <c r="C14" s="30">
        <f>IF(A14="","",C13*(1+'401k Setup'!C15))</f>
        <v>97858</v>
      </c>
      <c r="D14" s="30">
        <f>IF(A14="","",C14*'401k Setup'!C10)</f>
        <v>9786</v>
      </c>
      <c r="E14" s="30">
        <f>IF(A14="","",MIN(D14,C14*'401k Setup'!C12)*'401k Setup'!C11)</f>
        <v>2936</v>
      </c>
      <c r="F14" s="30">
        <f>IF(A14="","",G13*'401k Setup'!C14)</f>
        <v>14897</v>
      </c>
      <c r="G14" s="30">
        <f>IF(A14="","",G13+D14+E14+F14)</f>
        <v>240435</v>
      </c>
      <c r="H14" s="30">
        <f>IF(A14="","",H13+D14)</f>
        <v>85979</v>
      </c>
      <c r="I14" s="30">
        <f>IF(A14="","",I13+E14)</f>
        <v>25794</v>
      </c>
    </row>
    <row r="15" ht="26" customHeight="1" spans="1:9" x14ac:dyDescent="0.25">
      <c r="A15" s="27">
        <f>IF('401k Setup'!C6-'401k Setup'!C5&gt;=11,11,"")</f>
        <v>11</v>
      </c>
      <c r="B15" s="27">
        <f>IF(A15="","",'401k Setup'!C5+10)</f>
        <v>40</v>
      </c>
      <c r="C15" s="28">
        <f>IF(A15="","",C14*(1+'401k Setup'!C15))</f>
        <v>100794</v>
      </c>
      <c r="D15" s="28">
        <f>IF(A15="","",C15*'401k Setup'!C10)</f>
        <v>10079</v>
      </c>
      <c r="E15" s="28">
        <f>IF(A15="","",MIN(D15,C15*'401k Setup'!C12)*'401k Setup'!C11)</f>
        <v>3024</v>
      </c>
      <c r="F15" s="28">
        <f>IF(A15="","",G14*'401k Setup'!C14)</f>
        <v>16830</v>
      </c>
      <c r="G15" s="28">
        <f>IF(A15="","",G14+D15+E15+F15)</f>
        <v>270369</v>
      </c>
      <c r="H15" s="28">
        <f>IF(A15="","",H14+D15)</f>
        <v>96058</v>
      </c>
      <c r="I15" s="28">
        <f>IF(A15="","",I14+E15)</f>
        <v>28818</v>
      </c>
    </row>
    <row r="16" ht="26" customHeight="1" spans="1:9" x14ac:dyDescent="0.25">
      <c r="A16" s="29">
        <f>IF('401k Setup'!C6-'401k Setup'!C5&gt;=12,12,"")</f>
        <v>12</v>
      </c>
      <c r="B16" s="29">
        <f>IF(A16="","",'401k Setup'!C5+11)</f>
        <v>41</v>
      </c>
      <c r="C16" s="30">
        <f>IF(A16="","",C15*(1+'401k Setup'!C15))</f>
        <v>103818</v>
      </c>
      <c r="D16" s="30">
        <f>IF(A16="","",C16*'401k Setup'!C10)</f>
        <v>10382</v>
      </c>
      <c r="E16" s="30">
        <f>IF(A16="","",MIN(D16,C16*'401k Setup'!C12)*'401k Setup'!C11)</f>
        <v>3115</v>
      </c>
      <c r="F16" s="30">
        <f>IF(A16="","",G15*'401k Setup'!C14)</f>
        <v>18926</v>
      </c>
      <c r="G16" s="30">
        <f>IF(A16="","",G15+D16+E16+F16)</f>
        <v>302791</v>
      </c>
      <c r="H16" s="30">
        <f>IF(A16="","",H15+D16)</f>
        <v>106440</v>
      </c>
      <c r="I16" s="30">
        <f>IF(A16="","",I15+E16)</f>
        <v>31932</v>
      </c>
    </row>
    <row r="17" ht="26" customHeight="1" spans="1:9" x14ac:dyDescent="0.25">
      <c r="A17" s="27">
        <f>IF('401k Setup'!C6-'401k Setup'!C5&gt;=13,13,"")</f>
        <v>13</v>
      </c>
      <c r="B17" s="27">
        <f>IF(A17="","",'401k Setup'!C5+12)</f>
        <v>42</v>
      </c>
      <c r="C17" s="28">
        <f>IF(A17="","",C16*(1+'401k Setup'!C15))</f>
        <v>106932</v>
      </c>
      <c r="D17" s="28">
        <f>IF(A17="","",C17*'401k Setup'!C10)</f>
        <v>10693</v>
      </c>
      <c r="E17" s="28">
        <f>IF(A17="","",MIN(D17,C17*'401k Setup'!C12)*'401k Setup'!C11)</f>
        <v>3208</v>
      </c>
      <c r="F17" s="28">
        <f>IF(A17="","",G16*'401k Setup'!C14)</f>
        <v>21195</v>
      </c>
      <c r="G17" s="28">
        <f>IF(A17="","",G16+D17+E17+F17)</f>
        <v>337888</v>
      </c>
      <c r="H17" s="28">
        <f>IF(A17="","",H16+D17)</f>
        <v>117133</v>
      </c>
      <c r="I17" s="28">
        <f>IF(A17="","",I16+E17)</f>
        <v>35140</v>
      </c>
    </row>
    <row r="18" ht="26" customHeight="1" spans="1:9" x14ac:dyDescent="0.25">
      <c r="A18" s="29">
        <f>IF('401k Setup'!C6-'401k Setup'!C5&gt;=14,14,"")</f>
        <v>14</v>
      </c>
      <c r="B18" s="29">
        <f>IF(A18="","",'401k Setup'!C5+13)</f>
        <v>43</v>
      </c>
      <c r="C18" s="30">
        <f>IF(A18="","",C17*(1+'401k Setup'!C15))</f>
        <v>110140</v>
      </c>
      <c r="D18" s="30">
        <f>IF(A18="","",C18*'401k Setup'!C10)</f>
        <v>11014</v>
      </c>
      <c r="E18" s="30">
        <f>IF(A18="","",MIN(D18,C18*'401k Setup'!C12)*'401k Setup'!C11)</f>
        <v>3304</v>
      </c>
      <c r="F18" s="30">
        <f>IF(A18="","",G17*'401k Setup'!C14)</f>
        <v>23652</v>
      </c>
      <c r="G18" s="30">
        <f>IF(A18="","",G17+D18+E18+F18)</f>
        <v>375858</v>
      </c>
      <c r="H18" s="30">
        <f>IF(A18="","",H17+D18)</f>
        <v>128147</v>
      </c>
      <c r="I18" s="30">
        <f>IF(A18="","",I17+E18)</f>
        <v>38444</v>
      </c>
    </row>
    <row r="19" ht="26" customHeight="1" spans="1:9" x14ac:dyDescent="0.25">
      <c r="A19" s="27">
        <f>IF('401k Setup'!C6-'401k Setup'!C5&gt;=15,15,"")</f>
        <v>15</v>
      </c>
      <c r="B19" s="27">
        <f>IF(A19="","",'401k Setup'!C5+14)</f>
        <v>44</v>
      </c>
      <c r="C19" s="28">
        <f>IF(A19="","",C18*(1+'401k Setup'!C15))</f>
        <v>113444</v>
      </c>
      <c r="D19" s="28">
        <f>IF(A19="","",C19*'401k Setup'!C10)</f>
        <v>11344</v>
      </c>
      <c r="E19" s="28">
        <f>IF(A19="","",MIN(D19,C19*'401k Setup'!C12)*'401k Setup'!C11)</f>
        <v>3403</v>
      </c>
      <c r="F19" s="28">
        <f>IF(A19="","",G18*'401k Setup'!C14)</f>
        <v>26310</v>
      </c>
      <c r="G19" s="28">
        <f>IF(A19="","",G18+D19+E19+F19)</f>
        <v>416916</v>
      </c>
      <c r="H19" s="28">
        <f>IF(A19="","",H18+D19)</f>
        <v>139492</v>
      </c>
      <c r="I19" s="28">
        <f>IF(A19="","",I18+E19)</f>
        <v>41848</v>
      </c>
    </row>
    <row r="20" ht="26" customHeight="1" spans="1:9" x14ac:dyDescent="0.25">
      <c r="A20" s="29">
        <f>IF('401k Setup'!C6-'401k Setup'!C5&gt;=16,16,"")</f>
        <v>16</v>
      </c>
      <c r="B20" s="29">
        <f>IF(A20="","",'401k Setup'!C5+15)</f>
        <v>45</v>
      </c>
      <c r="C20" s="30">
        <f>IF(A20="","",C19*(1+'401k Setup'!C15))</f>
        <v>116848</v>
      </c>
      <c r="D20" s="30">
        <f>IF(A20="","",C20*'401k Setup'!C10)</f>
        <v>11685</v>
      </c>
      <c r="E20" s="30">
        <f>IF(A20="","",MIN(D20,C20*'401k Setup'!C12)*'401k Setup'!C11)</f>
        <v>3505</v>
      </c>
      <c r="F20" s="30">
        <f>IF(A20="","",G19*'401k Setup'!C14)</f>
        <v>29184</v>
      </c>
      <c r="G20" s="30">
        <f>IF(A20="","",G19+D20+E20+F20)</f>
        <v>461290</v>
      </c>
      <c r="H20" s="30">
        <f>IF(A20="","",H19+D20)</f>
        <v>151177</v>
      </c>
      <c r="I20" s="30">
        <f>IF(A20="","",I19+E20)</f>
        <v>45353</v>
      </c>
    </row>
    <row r="21" ht="26" customHeight="1" spans="1:9" x14ac:dyDescent="0.25">
      <c r="A21" s="27">
        <f>IF('401k Setup'!C6-'401k Setup'!C5&gt;=17,17,"")</f>
        <v>17</v>
      </c>
      <c r="B21" s="27">
        <f>IF(A21="","",'401k Setup'!C5+16)</f>
        <v>46</v>
      </c>
      <c r="C21" s="28">
        <f>IF(A21="","",C20*(1+'401k Setup'!C15))</f>
        <v>120353</v>
      </c>
      <c r="D21" s="28">
        <f>IF(A21="","",C21*'401k Setup'!C10)</f>
        <v>12035</v>
      </c>
      <c r="E21" s="28">
        <f>IF(A21="","",MIN(D21,C21*'401k Setup'!C12)*'401k Setup'!C11)</f>
        <v>3611</v>
      </c>
      <c r="F21" s="28">
        <f>IF(A21="","",G20*'401k Setup'!C14)</f>
        <v>32290</v>
      </c>
      <c r="G21" s="28">
        <f>IF(A21="","",G20+D21+E21+F21)</f>
        <v>509226</v>
      </c>
      <c r="H21" s="28">
        <f>IF(A21="","",H20+D21)</f>
        <v>163212</v>
      </c>
      <c r="I21" s="28">
        <f>IF(A21="","",I20+E21)</f>
        <v>48964</v>
      </c>
    </row>
    <row r="22" ht="26" customHeight="1" spans="1:9" x14ac:dyDescent="0.25">
      <c r="A22" s="29">
        <f>IF('401k Setup'!C6-'401k Setup'!C5&gt;=18,18,"")</f>
        <v>18</v>
      </c>
      <c r="B22" s="29">
        <f>IF(A22="","",'401k Setup'!C5+17)</f>
        <v>47</v>
      </c>
      <c r="C22" s="30">
        <f>IF(A22="","",C21*(1+'401k Setup'!C15))</f>
        <v>123964</v>
      </c>
      <c r="D22" s="30">
        <f>IF(A22="","",C22*'401k Setup'!C10)</f>
        <v>12396</v>
      </c>
      <c r="E22" s="30">
        <f>IF(A22="","",MIN(D22,C22*'401k Setup'!C12)*'401k Setup'!C11)</f>
        <v>3719</v>
      </c>
      <c r="F22" s="30">
        <f>IF(A22="","",G21*'401k Setup'!C14)</f>
        <v>35646</v>
      </c>
      <c r="G22" s="30">
        <f>IF(A22="","",G21+D22+E22+F22)</f>
        <v>560987</v>
      </c>
      <c r="H22" s="30">
        <f>IF(A22="","",H21+D22)</f>
        <v>175608</v>
      </c>
      <c r="I22" s="30">
        <f>IF(A22="","",I21+E22)</f>
        <v>52682</v>
      </c>
    </row>
    <row r="23" ht="26" customHeight="1" spans="1:9" x14ac:dyDescent="0.25">
      <c r="A23" s="27">
        <f>IF('401k Setup'!C6-'401k Setup'!C5&gt;=19,19,"")</f>
        <v>19</v>
      </c>
      <c r="B23" s="27">
        <f>IF(A23="","",'401k Setup'!C5+18)</f>
        <v>48</v>
      </c>
      <c r="C23" s="28">
        <f>IF(A23="","",C22*(1+'401k Setup'!C15))</f>
        <v>127682</v>
      </c>
      <c r="D23" s="28">
        <f>IF(A23="","",C23*'401k Setup'!C10)</f>
        <v>12768</v>
      </c>
      <c r="E23" s="28">
        <f>IF(A23="","",MIN(D23,C23*'401k Setup'!C12)*'401k Setup'!C11)</f>
        <v>3830</v>
      </c>
      <c r="F23" s="28">
        <f>IF(A23="","",G22*'401k Setup'!C14)</f>
        <v>39269</v>
      </c>
      <c r="G23" s="28">
        <f>IF(A23="","",G22+D23+E23+F23)</f>
        <v>616855</v>
      </c>
      <c r="H23" s="28">
        <f>IF(A23="","",H22+D23)</f>
        <v>188377</v>
      </c>
      <c r="I23" s="28">
        <f>IF(A23="","",I22+E23)</f>
        <v>56513</v>
      </c>
    </row>
    <row r="24" ht="26" customHeight="1" spans="1:9" x14ac:dyDescent="0.25">
      <c r="A24" s="29">
        <f>IF('401k Setup'!C6-'401k Setup'!C5&gt;=20,20,"")</f>
        <v>20</v>
      </c>
      <c r="B24" s="29">
        <f>IF(A24="","",'401k Setup'!C5+19)</f>
        <v>49</v>
      </c>
      <c r="C24" s="30">
        <f>IF(A24="","",C23*(1+'401k Setup'!C15))</f>
        <v>131513</v>
      </c>
      <c r="D24" s="30">
        <f>IF(A24="","",C24*'401k Setup'!C10)</f>
        <v>13151</v>
      </c>
      <c r="E24" s="30">
        <f>IF(A24="","",MIN(D24,C24*'401k Setup'!C12)*'401k Setup'!C11)</f>
        <v>3945</v>
      </c>
      <c r="F24" s="30">
        <f>IF(A24="","",G23*'401k Setup'!C14)</f>
        <v>43180</v>
      </c>
      <c r="G24" s="30">
        <f>IF(A24="","",G23+D24+E24+F24)</f>
        <v>677132</v>
      </c>
      <c r="H24" s="30">
        <f>IF(A24="","",H23+D24)</f>
        <v>201528</v>
      </c>
      <c r="I24" s="30">
        <f>IF(A24="","",I23+E24)</f>
        <v>60458</v>
      </c>
    </row>
    <row r="25" ht="26" customHeight="1" spans="1:9" x14ac:dyDescent="0.25">
      <c r="A25" s="27">
        <f>IF('401k Setup'!C6-'401k Setup'!C5&gt;=21,21,"")</f>
        <v>21</v>
      </c>
      <c r="B25" s="27">
        <f>IF(A25="","",'401k Setup'!C5+20)</f>
        <v>50</v>
      </c>
      <c r="C25" s="28">
        <f>IF(A25="","",C24*(1+'401k Setup'!C15))</f>
        <v>135458</v>
      </c>
      <c r="D25" s="28">
        <f>IF(A25="","",C25*'401k Setup'!C10)</f>
        <v>13546</v>
      </c>
      <c r="E25" s="28">
        <f>IF(A25="","",MIN(D25,C25*'401k Setup'!C12)*'401k Setup'!C11)</f>
        <v>4064</v>
      </c>
      <c r="F25" s="28">
        <f>IF(A25="","",G24*'401k Setup'!C14)</f>
        <v>47399</v>
      </c>
      <c r="G25" s="28">
        <f>IF(A25="","",G24+D25+E25+F25)</f>
        <v>742141</v>
      </c>
      <c r="H25" s="28">
        <f>IF(A25="","",H24+D25)</f>
        <v>215074</v>
      </c>
      <c r="I25" s="28">
        <f>IF(A25="","",I24+E25)</f>
        <v>64522</v>
      </c>
    </row>
    <row r="26" ht="26" customHeight="1" spans="1:9" x14ac:dyDescent="0.25">
      <c r="A26" s="29">
        <f>IF('401k Setup'!C6-'401k Setup'!C5&gt;=22,22,"")</f>
        <v>22</v>
      </c>
      <c r="B26" s="29">
        <f>IF(A26="","",'401k Setup'!C5+21)</f>
        <v>51</v>
      </c>
      <c r="C26" s="30">
        <f>IF(A26="","",C25*(1+'401k Setup'!C15))</f>
        <v>139522</v>
      </c>
      <c r="D26" s="30">
        <f>IF(A26="","",C26*'401k Setup'!C10)</f>
        <v>13952</v>
      </c>
      <c r="E26" s="30">
        <f>IF(A26="","",MIN(D26,C26*'401k Setup'!C12)*'401k Setup'!C11)</f>
        <v>4186</v>
      </c>
      <c r="F26" s="30">
        <f>IF(A26="","",G25*'401k Setup'!C14)</f>
        <v>51950</v>
      </c>
      <c r="G26" s="30">
        <f>IF(A26="","",G25+D26+E26+F26)</f>
        <v>812228</v>
      </c>
      <c r="H26" s="30">
        <f>IF(A26="","",H25+D26)</f>
        <v>229026</v>
      </c>
      <c r="I26" s="30">
        <f>IF(A26="","",I25+E26)</f>
        <v>68708</v>
      </c>
    </row>
    <row r="27" ht="26" customHeight="1" spans="1:9" x14ac:dyDescent="0.25">
      <c r="A27" s="27">
        <f>IF('401k Setup'!C6-'401k Setup'!C5&gt;=23,23,"")</f>
        <v>23</v>
      </c>
      <c r="B27" s="27">
        <f>IF(A27="","",'401k Setup'!C5+22)</f>
        <v>52</v>
      </c>
      <c r="C27" s="28">
        <f>IF(A27="","",C26*(1+'401k Setup'!C15))</f>
        <v>143708</v>
      </c>
      <c r="D27" s="28">
        <f>IF(A27="","",C27*'401k Setup'!C10)</f>
        <v>14371</v>
      </c>
      <c r="E27" s="28">
        <f>IF(A27="","",MIN(D27,C27*'401k Setup'!C12)*'401k Setup'!C11)</f>
        <v>4311</v>
      </c>
      <c r="F27" s="28">
        <f>IF(A27="","",G26*'401k Setup'!C14)</f>
        <v>56856</v>
      </c>
      <c r="G27" s="28">
        <f>IF(A27="","",G26+D27+E27+F27)</f>
        <v>887766</v>
      </c>
      <c r="H27" s="28">
        <f>IF(A27="","",H26+D27)</f>
        <v>243397</v>
      </c>
      <c r="I27" s="28">
        <f>IF(A27="","",I26+E27)</f>
        <v>73019</v>
      </c>
    </row>
    <row r="28" ht="26" customHeight="1" spans="1:9" x14ac:dyDescent="0.25">
      <c r="A28" s="29">
        <f>IF('401k Setup'!C6-'401k Setup'!C5&gt;=24,24,"")</f>
        <v>24</v>
      </c>
      <c r="B28" s="29">
        <f>IF(A28="","",'401k Setup'!C5+23)</f>
        <v>53</v>
      </c>
      <c r="C28" s="30">
        <f>IF(A28="","",C27*(1+'401k Setup'!C15))</f>
        <v>148019</v>
      </c>
      <c r="D28" s="30">
        <f>IF(A28="","",C28*'401k Setup'!C10)</f>
        <v>14802</v>
      </c>
      <c r="E28" s="30">
        <f>IF(A28="","",MIN(D28,C28*'401k Setup'!C12)*'401k Setup'!C11)</f>
        <v>4441</v>
      </c>
      <c r="F28" s="30">
        <f>IF(A28="","",G27*'401k Setup'!C14)</f>
        <v>62144</v>
      </c>
      <c r="G28" s="30">
        <f>IF(A28="","",G27+D28+E28+F28)</f>
        <v>969152</v>
      </c>
      <c r="H28" s="30">
        <f>IF(A28="","",H27+D28)</f>
        <v>258199</v>
      </c>
      <c r="I28" s="30">
        <f>IF(A28="","",I27+E28)</f>
        <v>77460</v>
      </c>
    </row>
    <row r="29" ht="26" customHeight="1" spans="1:9" x14ac:dyDescent="0.25">
      <c r="A29" s="27">
        <f>IF('401k Setup'!C6-'401k Setup'!C5&gt;=25,25,"")</f>
        <v>25</v>
      </c>
      <c r="B29" s="27">
        <f>IF(A29="","",'401k Setup'!C5+24)</f>
        <v>54</v>
      </c>
      <c r="C29" s="28">
        <f>IF(A29="","",C28*(1+'401k Setup'!C15))</f>
        <v>152460</v>
      </c>
      <c r="D29" s="28">
        <f>IF(A29="","",C29*'401k Setup'!C10)</f>
        <v>15246</v>
      </c>
      <c r="E29" s="28">
        <f>IF(A29="","",MIN(D29,C29*'401k Setup'!C12)*'401k Setup'!C11)</f>
        <v>4574</v>
      </c>
      <c r="F29" s="28">
        <f>IF(A29="","",G28*'401k Setup'!C14)</f>
        <v>67841</v>
      </c>
      <c r="G29" s="28">
        <f>IF(A29="","",G28+D29+E29+F29)</f>
        <v>1056813</v>
      </c>
      <c r="H29" s="28">
        <f>IF(A29="","",H28+D29)</f>
        <v>273444</v>
      </c>
      <c r="I29" s="28">
        <f>IF(A29="","",I28+E29)</f>
        <v>82033</v>
      </c>
    </row>
    <row r="30" ht="26" customHeight="1" spans="1:9" x14ac:dyDescent="0.25">
      <c r="A30" s="29">
        <f>IF('401k Setup'!C6-'401k Setup'!C5&gt;=26,26,"")</f>
        <v>26</v>
      </c>
      <c r="B30" s="29">
        <f>IF(A30="","",'401k Setup'!C5+25)</f>
        <v>55</v>
      </c>
      <c r="C30" s="30">
        <f>IF(A30="","",C29*(1+'401k Setup'!C15))</f>
        <v>157033</v>
      </c>
      <c r="D30" s="30">
        <f>IF(A30="","",C30*'401k Setup'!C10)</f>
        <v>15703</v>
      </c>
      <c r="E30" s="30">
        <f>IF(A30="","",MIN(D30,C30*'401k Setup'!C12)*'401k Setup'!C11)</f>
        <v>4711</v>
      </c>
      <c r="F30" s="30">
        <f>IF(A30="","",G29*'401k Setup'!C14)</f>
        <v>73977</v>
      </c>
      <c r="G30" s="30">
        <f>IF(A30="","",G29+D30+E30+F30)</f>
        <v>1151204</v>
      </c>
      <c r="H30" s="30">
        <f>IF(A30="","",H29+D30)</f>
        <v>289148</v>
      </c>
      <c r="I30" s="30">
        <f>IF(A30="","",I29+E30)</f>
        <v>86744</v>
      </c>
    </row>
    <row r="31" ht="26" customHeight="1" spans="1:9" x14ac:dyDescent="0.25">
      <c r="A31" s="27">
        <f>IF('401k Setup'!C6-'401k Setup'!C5&gt;=27,27,"")</f>
        <v>27</v>
      </c>
      <c r="B31" s="27">
        <f>IF(A31="","",'401k Setup'!C5+26)</f>
        <v>56</v>
      </c>
      <c r="C31" s="28">
        <f>IF(A31="","",C30*(1+'401k Setup'!C15))</f>
        <v>161744</v>
      </c>
      <c r="D31" s="28">
        <f>IF(A31="","",C31*'401k Setup'!C10)</f>
        <v>16174</v>
      </c>
      <c r="E31" s="28">
        <f>IF(A31="","",MIN(D31,C31*'401k Setup'!C12)*'401k Setup'!C11)</f>
        <v>4852</v>
      </c>
      <c r="F31" s="28">
        <f>IF(A31="","",G30*'401k Setup'!C14)</f>
        <v>80584</v>
      </c>
      <c r="G31" s="28">
        <f>IF(A31="","",G30+D31+E31+F31)</f>
        <v>1252815</v>
      </c>
      <c r="H31" s="28">
        <f>IF(A31="","",H30+D31)</f>
        <v>305322</v>
      </c>
      <c r="I31" s="28">
        <f>IF(A31="","",I30+E31)</f>
        <v>91597</v>
      </c>
    </row>
    <row r="32" ht="26" customHeight="1" spans="1:9" x14ac:dyDescent="0.25">
      <c r="A32" s="29">
        <f>IF('401k Setup'!C6-'401k Setup'!C5&gt;=28,28,"")</f>
        <v>28</v>
      </c>
      <c r="B32" s="29">
        <f>IF(A32="","",'401k Setup'!C5+27)</f>
        <v>57</v>
      </c>
      <c r="C32" s="30">
        <f>IF(A32="","",C31*(1+'401k Setup'!C15))</f>
        <v>166597</v>
      </c>
      <c r="D32" s="30">
        <f>IF(A32="","",C32*'401k Setup'!C10)</f>
        <v>16660</v>
      </c>
      <c r="E32" s="30">
        <f>IF(A32="","",MIN(D32,C32*'401k Setup'!C12)*'401k Setup'!C11)</f>
        <v>4998</v>
      </c>
      <c r="F32" s="30">
        <f>IF(A32="","",G31*'401k Setup'!C14)</f>
        <v>87697</v>
      </c>
      <c r="G32" s="30">
        <f>IF(A32="","",G31+D32+E32+F32)</f>
        <v>1362170</v>
      </c>
      <c r="H32" s="30">
        <f>IF(A32="","",H31+D32)</f>
        <v>321982</v>
      </c>
      <c r="I32" s="30">
        <f>IF(A32="","",I31+E32)</f>
        <v>96595</v>
      </c>
    </row>
    <row r="33" ht="26" customHeight="1" spans="1:9" x14ac:dyDescent="0.25">
      <c r="A33" s="27">
        <f>IF('401k Setup'!C6-'401k Setup'!C5&gt;=29,29,"")</f>
        <v>29</v>
      </c>
      <c r="B33" s="27">
        <f>IF(A33="","",'401k Setup'!C5+28)</f>
        <v>58</v>
      </c>
      <c r="C33" s="28">
        <f>IF(A33="","",C32*(1+'401k Setup'!C15))</f>
        <v>171595</v>
      </c>
      <c r="D33" s="28">
        <f>IF(A33="","",C33*'401k Setup'!C10)</f>
        <v>17159</v>
      </c>
      <c r="E33" s="28">
        <f>IF(A33="","",MIN(D33,C33*'401k Setup'!C12)*'401k Setup'!C11)</f>
        <v>5148</v>
      </c>
      <c r="F33" s="28">
        <f>IF(A33="","",G32*'401k Setup'!C14)</f>
        <v>95352</v>
      </c>
      <c r="G33" s="28">
        <f>IF(A33="","",G32+D33+E33+F33)</f>
        <v>1479829</v>
      </c>
      <c r="H33" s="28">
        <f>IF(A33="","",H32+D33)</f>
        <v>339141</v>
      </c>
      <c r="I33" s="28">
        <f>IF(A33="","",I32+E33)</f>
        <v>101742</v>
      </c>
    </row>
    <row r="34" ht="26" customHeight="1" spans="1:9" x14ac:dyDescent="0.25">
      <c r="A34" s="29">
        <f>IF('401k Setup'!C6-'401k Setup'!C5&gt;=30,30,"")</f>
        <v>30</v>
      </c>
      <c r="B34" s="29">
        <f>IF(A34="","",'401k Setup'!C5+29)</f>
        <v>59</v>
      </c>
      <c r="C34" s="30">
        <f>IF(A34="","",C33*(1+'401k Setup'!C15))</f>
        <v>176742</v>
      </c>
      <c r="D34" s="30">
        <f>IF(A34="","",C34*'401k Setup'!C10)</f>
        <v>17674</v>
      </c>
      <c r="E34" s="30">
        <f>IF(A34="","",MIN(D34,C34*'401k Setup'!C12)*'401k Setup'!C11)</f>
        <v>5302</v>
      </c>
      <c r="F34" s="30">
        <f>IF(A34="","",G33*'401k Setup'!C14)</f>
        <v>103588</v>
      </c>
      <c r="G34" s="30">
        <f>IF(A34="","",G33+D34+E34+F34)</f>
        <v>1606393</v>
      </c>
      <c r="H34" s="30">
        <f>IF(A34="","",H33+D34)</f>
        <v>356816</v>
      </c>
      <c r="I34" s="30">
        <f>IF(A34="","",I33+E34)</f>
        <v>107045</v>
      </c>
    </row>
    <row r="35" ht="26" customHeight="1" spans="1:9" x14ac:dyDescent="0.25">
      <c r="A35" s="27">
        <f>IF('401k Setup'!C6-'401k Setup'!C5&gt;=31,31,"")</f>
        <v>31</v>
      </c>
      <c r="B35" s="27">
        <f>IF(A35="","",'401k Setup'!C5+30)</f>
        <v>60</v>
      </c>
      <c r="C35" s="28">
        <f>IF(A35="","",C34*(1+'401k Setup'!C15))</f>
        <v>182045</v>
      </c>
      <c r="D35" s="28">
        <f>IF(A35="","",C35*'401k Setup'!C10)</f>
        <v>18204</v>
      </c>
      <c r="E35" s="28">
        <f>IF(A35="","",MIN(D35,C35*'401k Setup'!C12)*'401k Setup'!C11)</f>
        <v>5461</v>
      </c>
      <c r="F35" s="28">
        <f>IF(A35="","",G34*'401k Setup'!C14)</f>
        <v>112448</v>
      </c>
      <c r="G35" s="28">
        <f>IF(A35="","",G34+D35+E35+F35)</f>
        <v>1742507</v>
      </c>
      <c r="H35" s="28">
        <f>IF(A35="","",H34+D35)</f>
        <v>375020</v>
      </c>
      <c r="I35" s="28">
        <f>IF(A35="","",I34+E35)</f>
        <v>112506</v>
      </c>
    </row>
    <row r="36" ht="26" customHeight="1" spans="1:9" x14ac:dyDescent="0.25">
      <c r="A36" s="29">
        <f>IF('401k Setup'!C6-'401k Setup'!C5&gt;=32,32,"")</f>
        <v>32</v>
      </c>
      <c r="B36" s="29">
        <f>IF(A36="","",'401k Setup'!C5+31)</f>
        <v>61</v>
      </c>
      <c r="C36" s="30">
        <f>IF(A36="","",C35*(1+'401k Setup'!C15))</f>
        <v>187506</v>
      </c>
      <c r="D36" s="30">
        <f>IF(A36="","",C36*'401k Setup'!C10)</f>
        <v>18751</v>
      </c>
      <c r="E36" s="30">
        <f>IF(A36="","",MIN(D36,C36*'401k Setup'!C12)*'401k Setup'!C11)</f>
        <v>5625</v>
      </c>
      <c r="F36" s="30">
        <f>IF(A36="","",G35*'401k Setup'!C14)</f>
        <v>121975</v>
      </c>
      <c r="G36" s="30">
        <f>IF(A36="","",G35+D36+E36+F36)</f>
        <v>1888858</v>
      </c>
      <c r="H36" s="30">
        <f>IF(A36="","",H35+D36)</f>
        <v>393771</v>
      </c>
      <c r="I36" s="30">
        <f>IF(A36="","",I35+E36)</f>
        <v>118131</v>
      </c>
    </row>
    <row r="37" ht="26" customHeight="1" spans="1:9" x14ac:dyDescent="0.25">
      <c r="A37" s="27">
        <f>IF('401k Setup'!C6-'401k Setup'!C5&gt;=33,33,"")</f>
        <v>33</v>
      </c>
      <c r="B37" s="27">
        <f>IF(A37="","",'401k Setup'!C5+32)</f>
        <v>62</v>
      </c>
      <c r="C37" s="28">
        <f>IF(A37="","",C36*(1+'401k Setup'!C15))</f>
        <v>193131</v>
      </c>
      <c r="D37" s="28">
        <f>IF(A37="","",C37*'401k Setup'!C10)</f>
        <v>19313</v>
      </c>
      <c r="E37" s="28">
        <f>IF(A37="","",MIN(D37,C37*'401k Setup'!C12)*'401k Setup'!C11)</f>
        <v>5794</v>
      </c>
      <c r="F37" s="28">
        <f>IF(A37="","",G36*'401k Setup'!C14)</f>
        <v>132220</v>
      </c>
      <c r="G37" s="28">
        <f>IF(A37="","",G36+D37+E37+F37)</f>
        <v>2046185</v>
      </c>
      <c r="H37" s="28">
        <f>IF(A37="","",H36+D37)</f>
        <v>413084</v>
      </c>
      <c r="I37" s="28">
        <f>IF(A37="","",I36+E37)</f>
        <v>123925</v>
      </c>
    </row>
    <row r="38" ht="26" customHeight="1" spans="1:9" x14ac:dyDescent="0.25">
      <c r="A38" s="29">
        <f>IF('401k Setup'!C6-'401k Setup'!C5&gt;=34,34,"")</f>
        <v>34</v>
      </c>
      <c r="B38" s="29">
        <f>IF(A38="","",'401k Setup'!C5+33)</f>
        <v>63</v>
      </c>
      <c r="C38" s="30">
        <f>IF(A38="","",C37*(1+'401k Setup'!C15))</f>
        <v>198925</v>
      </c>
      <c r="D38" s="30">
        <f>IF(A38="","",C38*'401k Setup'!C10)</f>
        <v>19893</v>
      </c>
      <c r="E38" s="30">
        <f>IF(A38="","",MIN(D38,C38*'401k Setup'!C12)*'401k Setup'!C11)</f>
        <v>5968</v>
      </c>
      <c r="F38" s="30">
        <f>IF(A38="","",G37*'401k Setup'!C14)</f>
        <v>143233</v>
      </c>
      <c r="G38" s="30">
        <f>IF(A38="","",G37+D38+E38+F38)</f>
        <v>2215278</v>
      </c>
      <c r="H38" s="30">
        <f>IF(A38="","",H37+D38)</f>
        <v>432976</v>
      </c>
      <c r="I38" s="30">
        <f>IF(A38="","",I37+E38)</f>
        <v>129893</v>
      </c>
    </row>
    <row r="39" ht="26" customHeight="1" spans="1:9" x14ac:dyDescent="0.25">
      <c r="A39" s="27">
        <f>IF('401k Setup'!C6-'401k Setup'!C5&gt;=35,35,"")</f>
        <v>35</v>
      </c>
      <c r="B39" s="27">
        <f>IF(A39="","",'401k Setup'!C5+34)</f>
        <v>64</v>
      </c>
      <c r="C39" s="28">
        <f>IF(A39="","",C38*(1+'401k Setup'!C15))</f>
        <v>204893</v>
      </c>
      <c r="D39" s="28">
        <f>IF(A39="","",C39*'401k Setup'!C10)</f>
        <v>20489</v>
      </c>
      <c r="E39" s="28">
        <f>IF(A39="","",MIN(D39,C39*'401k Setup'!C12)*'401k Setup'!C11)</f>
        <v>6147</v>
      </c>
      <c r="F39" s="28">
        <f>IF(A39="","",G38*'401k Setup'!C14)</f>
        <v>155069</v>
      </c>
      <c r="G39" s="28">
        <f>IF(A39="","",G38+D39+E39+F39)</f>
        <v>2396984</v>
      </c>
      <c r="H39" s="28">
        <f>IF(A39="","",H38+D39)</f>
        <v>453466</v>
      </c>
      <c r="I39" s="28">
        <f>IF(A39="","",I38+E39)</f>
        <v>136040</v>
      </c>
    </row>
    <row r="40" ht="26" customHeight="1" spans="1:9" x14ac:dyDescent="0.25">
      <c r="A40" s="29" t="str">
        <f>IF('401k Setup'!C6-'401k Setup'!C5&gt;=36,36,"")</f>
        <v/>
      </c>
      <c r="B40" s="29" t="str">
        <f>IF(A40="","",'401k Setup'!C5+35)</f>
        <v/>
      </c>
      <c r="C40" s="30" t="str">
        <f>IF(A40="","",C39*(1+'401k Setup'!C15))</f>
        <v/>
      </c>
      <c r="D40" s="30" t="str">
        <f>IF(A40="","",C40*'401k Setup'!C10)</f>
        <v/>
      </c>
      <c r="E40" s="30" t="str">
        <f>IF(A40="","",MIN(D40,C40*'401k Setup'!C12)*'401k Setup'!C11)</f>
        <v/>
      </c>
      <c r="F40" s="30" t="str">
        <f>IF(A40="","",G39*'401k Setup'!C14)</f>
        <v/>
      </c>
      <c r="G40" s="30" t="str">
        <f>IF(A40="","",G39+D40+E40+F40)</f>
        <v/>
      </c>
      <c r="H40" s="30" t="str">
        <f>IF(A40="","",H39+D40)</f>
        <v/>
      </c>
      <c r="I40" s="30" t="str">
        <f>IF(A40="","",I39+E40)</f>
        <v/>
      </c>
    </row>
    <row r="41" ht="26" customHeight="1" spans="1:9" x14ac:dyDescent="0.25">
      <c r="A41" s="27" t="str">
        <f>IF('401k Setup'!C6-'401k Setup'!C5&gt;=37,37,"")</f>
        <v/>
      </c>
      <c r="B41" s="27" t="str">
        <f>IF(A41="","",'401k Setup'!C5+36)</f>
        <v/>
      </c>
      <c r="C41" s="28" t="str">
        <f>IF(A41="","",C40*(1+'401k Setup'!C15))</f>
        <v/>
      </c>
      <c r="D41" s="28" t="str">
        <f>IF(A41="","",C41*'401k Setup'!C10)</f>
        <v/>
      </c>
      <c r="E41" s="28" t="str">
        <f>IF(A41="","",MIN(D41,C41*'401k Setup'!C12)*'401k Setup'!C11)</f>
        <v/>
      </c>
      <c r="F41" s="28" t="str">
        <f>IF(A41="","",G40*'401k Setup'!C14)</f>
        <v/>
      </c>
      <c r="G41" s="28" t="str">
        <f>IF(A41="","",G40+D41+E41+F41)</f>
        <v/>
      </c>
      <c r="H41" s="28" t="str">
        <f>IF(A41="","",H40+D41)</f>
        <v/>
      </c>
      <c r="I41" s="28" t="str">
        <f>IF(A41="","",I40+E41)</f>
        <v/>
      </c>
    </row>
    <row r="42" ht="26" customHeight="1" spans="1:9" x14ac:dyDescent="0.25">
      <c r="A42" s="29" t="str">
        <f>IF('401k Setup'!C6-'401k Setup'!C5&gt;=38,38,"")</f>
        <v/>
      </c>
      <c r="B42" s="29" t="str">
        <f>IF(A42="","",'401k Setup'!C5+37)</f>
        <v/>
      </c>
      <c r="C42" s="30" t="str">
        <f>IF(A42="","",C41*(1+'401k Setup'!C15))</f>
        <v/>
      </c>
      <c r="D42" s="30" t="str">
        <f>IF(A42="","",C42*'401k Setup'!C10)</f>
        <v/>
      </c>
      <c r="E42" s="30" t="str">
        <f>IF(A42="","",MIN(D42,C42*'401k Setup'!C12)*'401k Setup'!C11)</f>
        <v/>
      </c>
      <c r="F42" s="30" t="str">
        <f>IF(A42="","",G41*'401k Setup'!C14)</f>
        <v/>
      </c>
      <c r="G42" s="30" t="str">
        <f>IF(A42="","",G41+D42+E42+F42)</f>
        <v/>
      </c>
      <c r="H42" s="30" t="str">
        <f>IF(A42="","",H41+D42)</f>
        <v/>
      </c>
      <c r="I42" s="30" t="str">
        <f>IF(A42="","",I41+E42)</f>
        <v/>
      </c>
    </row>
    <row r="43" ht="26" customHeight="1" spans="1:9" x14ac:dyDescent="0.25">
      <c r="A43" s="27" t="str">
        <f>IF('401k Setup'!C6-'401k Setup'!C5&gt;=39,39,"")</f>
        <v/>
      </c>
      <c r="B43" s="27" t="str">
        <f>IF(A43="","",'401k Setup'!C5+38)</f>
        <v/>
      </c>
      <c r="C43" s="28" t="str">
        <f>IF(A43="","",C42*(1+'401k Setup'!C15))</f>
        <v/>
      </c>
      <c r="D43" s="28" t="str">
        <f>IF(A43="","",C43*'401k Setup'!C10)</f>
        <v/>
      </c>
      <c r="E43" s="28" t="str">
        <f>IF(A43="","",MIN(D43,C43*'401k Setup'!C12)*'401k Setup'!C11)</f>
        <v/>
      </c>
      <c r="F43" s="28" t="str">
        <f>IF(A43="","",G42*'401k Setup'!C14)</f>
        <v/>
      </c>
      <c r="G43" s="28" t="str">
        <f>IF(A43="","",G42+D43+E43+F43)</f>
        <v/>
      </c>
      <c r="H43" s="28" t="str">
        <f>IF(A43="","",H42+D43)</f>
        <v/>
      </c>
      <c r="I43" s="28" t="str">
        <f>IF(A43="","",I42+E43)</f>
        <v/>
      </c>
    </row>
    <row r="44" ht="26" customHeight="1" spans="1:9" x14ac:dyDescent="0.25">
      <c r="A44" s="29" t="str">
        <f>IF('401k Setup'!C6-'401k Setup'!C5&gt;=40,40,"")</f>
        <v/>
      </c>
      <c r="B44" s="29" t="str">
        <f>IF(A44="","",'401k Setup'!C5+39)</f>
        <v/>
      </c>
      <c r="C44" s="30" t="str">
        <f>IF(A44="","",C43*(1+'401k Setup'!C15))</f>
        <v/>
      </c>
      <c r="D44" s="30" t="str">
        <f>IF(A44="","",C44*'401k Setup'!C10)</f>
        <v/>
      </c>
      <c r="E44" s="30" t="str">
        <f>IF(A44="","",MIN(D44,C44*'401k Setup'!C12)*'401k Setup'!C11)</f>
        <v/>
      </c>
      <c r="F44" s="30" t="str">
        <f>IF(A44="","",G43*'401k Setup'!C14)</f>
        <v/>
      </c>
      <c r="G44" s="30" t="str">
        <f>IF(A44="","",G43+D44+E44+F44)</f>
        <v/>
      </c>
      <c r="H44" s="30" t="str">
        <f>IF(A44="","",H43+D44)</f>
        <v/>
      </c>
      <c r="I44" s="30" t="str">
        <f>IF(A44="","",I43+E44)</f>
        <v/>
      </c>
    </row>
    <row r="45" ht="26" customHeight="1" spans="1:9" x14ac:dyDescent="0.25">
      <c r="A45" s="27" t="str">
        <f>IF('401k Setup'!C6-'401k Setup'!C5&gt;=41,41,"")</f>
        <v/>
      </c>
      <c r="B45" s="27" t="str">
        <f>IF(A45="","",'401k Setup'!C5+40)</f>
        <v/>
      </c>
      <c r="C45" s="28" t="str">
        <f>IF(A45="","",C44*(1+'401k Setup'!C15))</f>
        <v/>
      </c>
      <c r="D45" s="28" t="str">
        <f>IF(A45="","",C45*'401k Setup'!C10)</f>
        <v/>
      </c>
      <c r="E45" s="28" t="str">
        <f>IF(A45="","",MIN(D45,C45*'401k Setup'!C12)*'401k Setup'!C11)</f>
        <v/>
      </c>
      <c r="F45" s="28" t="str">
        <f>IF(A45="","",G44*'401k Setup'!C14)</f>
        <v/>
      </c>
      <c r="G45" s="28" t="str">
        <f>IF(A45="","",G44+D45+E45+F45)</f>
        <v/>
      </c>
      <c r="H45" s="28" t="str">
        <f>IF(A45="","",H44+D45)</f>
        <v/>
      </c>
      <c r="I45" s="28" t="str">
        <f>IF(A45="","",I44+E45)</f>
        <v/>
      </c>
    </row>
    <row r="46" ht="26" customHeight="1" spans="1:9" x14ac:dyDescent="0.25">
      <c r="A46" s="29" t="str">
        <f>IF('401k Setup'!C6-'401k Setup'!C5&gt;=42,42,"")</f>
        <v/>
      </c>
      <c r="B46" s="29" t="str">
        <f>IF(A46="","",'401k Setup'!C5+41)</f>
        <v/>
      </c>
      <c r="C46" s="30" t="str">
        <f>IF(A46="","",C45*(1+'401k Setup'!C15))</f>
        <v/>
      </c>
      <c r="D46" s="30" t="str">
        <f>IF(A46="","",C46*'401k Setup'!C10)</f>
        <v/>
      </c>
      <c r="E46" s="30" t="str">
        <f>IF(A46="","",MIN(D46,C46*'401k Setup'!C12)*'401k Setup'!C11)</f>
        <v/>
      </c>
      <c r="F46" s="30" t="str">
        <f>IF(A46="","",G45*'401k Setup'!C14)</f>
        <v/>
      </c>
      <c r="G46" s="30" t="str">
        <f>IF(A46="","",G45+D46+E46+F46)</f>
        <v/>
      </c>
      <c r="H46" s="30" t="str">
        <f>IF(A46="","",H45+D46)</f>
        <v/>
      </c>
      <c r="I46" s="30" t="str">
        <f>IF(A46="","",I45+E46)</f>
        <v/>
      </c>
    </row>
    <row r="47" ht="26" customHeight="1" spans="1:9" x14ac:dyDescent="0.25">
      <c r="A47" s="27" t="str">
        <f>IF('401k Setup'!C6-'401k Setup'!C5&gt;=43,43,"")</f>
        <v/>
      </c>
      <c r="B47" s="27" t="str">
        <f>IF(A47="","",'401k Setup'!C5+42)</f>
        <v/>
      </c>
      <c r="C47" s="28" t="str">
        <f>IF(A47="","",C46*(1+'401k Setup'!C15))</f>
        <v/>
      </c>
      <c r="D47" s="28" t="str">
        <f>IF(A47="","",C47*'401k Setup'!C10)</f>
        <v/>
      </c>
      <c r="E47" s="28" t="str">
        <f>IF(A47="","",MIN(D47,C47*'401k Setup'!C12)*'401k Setup'!C11)</f>
        <v/>
      </c>
      <c r="F47" s="28" t="str">
        <f>IF(A47="","",G46*'401k Setup'!C14)</f>
        <v/>
      </c>
      <c r="G47" s="28" t="str">
        <f>IF(A47="","",G46+D47+E47+F47)</f>
        <v/>
      </c>
      <c r="H47" s="28" t="str">
        <f>IF(A47="","",H46+D47)</f>
        <v/>
      </c>
      <c r="I47" s="28" t="str">
        <f>IF(A47="","",I46+E47)</f>
        <v/>
      </c>
    </row>
    <row r="48" ht="26" customHeight="1" spans="1:9" x14ac:dyDescent="0.25">
      <c r="A48" s="29" t="str">
        <f>IF('401k Setup'!C6-'401k Setup'!C5&gt;=44,44,"")</f>
        <v/>
      </c>
      <c r="B48" s="29" t="str">
        <f>IF(A48="","",'401k Setup'!C5+43)</f>
        <v/>
      </c>
      <c r="C48" s="30" t="str">
        <f>IF(A48="","",C47*(1+'401k Setup'!C15))</f>
        <v/>
      </c>
      <c r="D48" s="30" t="str">
        <f>IF(A48="","",C48*'401k Setup'!C10)</f>
        <v/>
      </c>
      <c r="E48" s="30" t="str">
        <f>IF(A48="","",MIN(D48,C48*'401k Setup'!C12)*'401k Setup'!C11)</f>
        <v/>
      </c>
      <c r="F48" s="30" t="str">
        <f>IF(A48="","",G47*'401k Setup'!C14)</f>
        <v/>
      </c>
      <c r="G48" s="30" t="str">
        <f>IF(A48="","",G47+D48+E48+F48)</f>
        <v/>
      </c>
      <c r="H48" s="30" t="str">
        <f>IF(A48="","",H47+D48)</f>
        <v/>
      </c>
      <c r="I48" s="30" t="str">
        <f>IF(A48="","",I47+E48)</f>
        <v/>
      </c>
    </row>
    <row r="49" ht="26" customHeight="1" spans="1:9" x14ac:dyDescent="0.25">
      <c r="A49" s="27" t="str">
        <f>IF('401k Setup'!C6-'401k Setup'!C5&gt;=45,45,"")</f>
        <v/>
      </c>
      <c r="B49" s="27" t="str">
        <f>IF(A49="","",'401k Setup'!C5+44)</f>
        <v/>
      </c>
      <c r="C49" s="28" t="str">
        <f>IF(A49="","",C48*(1+'401k Setup'!C15))</f>
        <v/>
      </c>
      <c r="D49" s="28" t="str">
        <f>IF(A49="","",C49*'401k Setup'!C10)</f>
        <v/>
      </c>
      <c r="E49" s="28" t="str">
        <f>IF(A49="","",MIN(D49,C49*'401k Setup'!C12)*'401k Setup'!C11)</f>
        <v/>
      </c>
      <c r="F49" s="28" t="str">
        <f>IF(A49="","",G48*'401k Setup'!C14)</f>
        <v/>
      </c>
      <c r="G49" s="28" t="str">
        <f>IF(A49="","",G48+D49+E49+F49)</f>
        <v/>
      </c>
      <c r="H49" s="28" t="str">
        <f>IF(A49="","",H48+D49)</f>
        <v/>
      </c>
      <c r="I49" s="28" t="str">
        <f>IF(A49="","",I48+E49)</f>
        <v/>
      </c>
    </row>
    <row r="50" ht="14" customHeight="1" x14ac:dyDescent="0.25"/>
    <row r="51" ht="6" customHeight="1" x14ac:dyDescent="0.25"/>
    <row r="52" ht="20" customHeight="1" spans="1:9" x14ac:dyDescent="0.25">
      <c r="A52" s="10" t="s">
        <v>12</v>
      </c>
      <c r="B52" s="10"/>
      <c r="C52" s="10"/>
      <c r="D52" s="10"/>
      <c r="E52" s="10"/>
      <c r="F52" s="10"/>
      <c r="G52" s="10"/>
      <c r="H52" s="10"/>
      <c r="I52" s="10"/>
    </row>
    <row r="53" ht="20" customHeight="1" spans="1:9" x14ac:dyDescent="0.25">
      <c r="A53" s="11" t="s">
        <v>13</v>
      </c>
      <c r="B53" s="11"/>
      <c r="C53" s="11"/>
      <c r="D53" s="11"/>
      <c r="E53" s="11"/>
      <c r="F53" s="11"/>
      <c r="G53" s="11"/>
      <c r="H53" s="11"/>
      <c r="I53" s="11"/>
    </row>
  </sheetData>
  <sheetProtection sheet="1"/>
  <mergeCells count="4">
    <mergeCell ref="A1:I1"/>
    <mergeCell ref="A2:I2"/>
    <mergeCell ref="A52:I52"/>
    <mergeCell ref="A53:I53"/>
  </mergeCells>
  <hyperlinks>
    <hyperlink ref="A5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49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1" t="s">
        <v>76</v>
      </c>
      <c r="B1" s="31"/>
    </row>
    <row r="2" ht="24" customHeight="1" spans="1:2" x14ac:dyDescent="0.25">
      <c r="A2" s="32" t="s">
        <v>77</v>
      </c>
      <c r="B2" s="32"/>
    </row>
    <row r="3" ht="14" customHeight="1" x14ac:dyDescent="0.25"/>
    <row r="4" ht="28" customHeight="1" spans="1:2" x14ac:dyDescent="0.25">
      <c r="A4" s="33" t="s">
        <v>78</v>
      </c>
      <c r="B4" s="9"/>
    </row>
    <row r="6" ht="24" customHeight="1" spans="2:2" x14ac:dyDescent="0.25">
      <c r="B6" s="34" t="s">
        <v>79</v>
      </c>
    </row>
    <row r="7" ht="24" customHeight="1" spans="2:2" x14ac:dyDescent="0.25">
      <c r="B7" s="34" t="s">
        <v>80</v>
      </c>
    </row>
    <row r="8" ht="24" customHeight="1" spans="2:2" x14ac:dyDescent="0.25">
      <c r="B8" s="34" t="s">
        <v>81</v>
      </c>
    </row>
    <row r="9" ht="24" customHeight="1" spans="2:2" x14ac:dyDescent="0.25">
      <c r="B9" s="34" t="s">
        <v>82</v>
      </c>
    </row>
    <row r="10" ht="24" customHeight="1" spans="2:2" x14ac:dyDescent="0.25">
      <c r="B10" s="34" t="s">
        <v>83</v>
      </c>
    </row>
    <row r="11" ht="12" customHeight="1" x14ac:dyDescent="0.25"/>
    <row r="12" ht="28" customHeight="1" spans="1:2" x14ac:dyDescent="0.25">
      <c r="A12" s="33" t="s">
        <v>84</v>
      </c>
      <c r="B12" s="9"/>
    </row>
    <row r="14" ht="24" customHeight="1" spans="2:2" x14ac:dyDescent="0.25">
      <c r="B14" s="34" t="s">
        <v>85</v>
      </c>
    </row>
    <row r="15" ht="24" customHeight="1" spans="2:2" x14ac:dyDescent="0.25">
      <c r="B15" s="34" t="s">
        <v>86</v>
      </c>
    </row>
    <row r="16" ht="24" customHeight="1" spans="2:2" x14ac:dyDescent="0.25">
      <c r="B16" s="34" t="s">
        <v>87</v>
      </c>
    </row>
    <row r="17" ht="24" customHeight="1" spans="2:2" x14ac:dyDescent="0.25">
      <c r="B17" s="34" t="s">
        <v>88</v>
      </c>
    </row>
    <row r="18" ht="24" customHeight="1" spans="2:2" x14ac:dyDescent="0.25">
      <c r="B18" s="34" t="s">
        <v>89</v>
      </c>
    </row>
    <row r="19" ht="24" customHeight="1" spans="2:2" x14ac:dyDescent="0.25">
      <c r="B19" s="34" t="s">
        <v>90</v>
      </c>
    </row>
    <row r="20" ht="12" customHeight="1" x14ac:dyDescent="0.25"/>
    <row r="21" ht="28" customHeight="1" spans="1:2" x14ac:dyDescent="0.25">
      <c r="A21" s="33" t="s">
        <v>91</v>
      </c>
      <c r="B21" s="9"/>
    </row>
    <row r="23" ht="24" customHeight="1" spans="2:2" x14ac:dyDescent="0.25">
      <c r="B23" s="34" t="s">
        <v>92</v>
      </c>
    </row>
    <row r="24" ht="24" customHeight="1" spans="2:2" x14ac:dyDescent="0.25">
      <c r="B24" s="34" t="s">
        <v>93</v>
      </c>
    </row>
    <row r="25" ht="24" customHeight="1" spans="2:2" x14ac:dyDescent="0.25">
      <c r="B25" s="34" t="s">
        <v>94</v>
      </c>
    </row>
    <row r="26" ht="24" customHeight="1" spans="2:2" x14ac:dyDescent="0.25">
      <c r="B26" s="34" t="s">
        <v>95</v>
      </c>
    </row>
    <row r="27" ht="12" customHeight="1" x14ac:dyDescent="0.25"/>
    <row r="28" ht="28" customHeight="1" spans="1:2" x14ac:dyDescent="0.25">
      <c r="A28" s="33" t="s">
        <v>96</v>
      </c>
      <c r="B28" s="9"/>
    </row>
    <row r="30" ht="24" customHeight="1" spans="2:2" x14ac:dyDescent="0.25">
      <c r="B30" s="34" t="s">
        <v>97</v>
      </c>
    </row>
    <row r="31" ht="24" customHeight="1" spans="2:2" x14ac:dyDescent="0.25">
      <c r="B31" s="34" t="s">
        <v>98</v>
      </c>
    </row>
    <row r="32" ht="24" customHeight="1" spans="2:2" x14ac:dyDescent="0.25">
      <c r="B32" s="34" t="s">
        <v>99</v>
      </c>
    </row>
    <row r="33" ht="12" customHeight="1" x14ac:dyDescent="0.25"/>
    <row r="34" ht="28" customHeight="1" spans="1:2" x14ac:dyDescent="0.25">
      <c r="A34" s="33" t="s">
        <v>100</v>
      </c>
      <c r="B34" s="9"/>
    </row>
    <row r="36" ht="24" customHeight="1" spans="2:2" x14ac:dyDescent="0.25">
      <c r="B36" s="34" t="s">
        <v>101</v>
      </c>
    </row>
    <row r="37" ht="24" customHeight="1" spans="2:2" x14ac:dyDescent="0.25">
      <c r="B37" s="34" t="s">
        <v>102</v>
      </c>
    </row>
    <row r="38" ht="24" customHeight="1" spans="2:2" x14ac:dyDescent="0.25">
      <c r="B38" s="34" t="s">
        <v>103</v>
      </c>
    </row>
    <row r="39" ht="24" customHeight="1" spans="2:2" x14ac:dyDescent="0.25">
      <c r="B39" s="34" t="s">
        <v>104</v>
      </c>
    </row>
    <row r="40" ht="12" customHeight="1" x14ac:dyDescent="0.25"/>
    <row r="41" ht="28" customHeight="1" spans="1:2" x14ac:dyDescent="0.25">
      <c r="A41" s="33" t="s">
        <v>105</v>
      </c>
      <c r="B41" s="9"/>
    </row>
    <row r="43" ht="24" customHeight="1" spans="2:2" x14ac:dyDescent="0.25">
      <c r="B43" s="34" t="s">
        <v>106</v>
      </c>
    </row>
    <row r="44" ht="24" customHeight="1" spans="2:2" x14ac:dyDescent="0.25">
      <c r="B44" s="34" t="s">
        <v>107</v>
      </c>
    </row>
    <row r="45" ht="24" customHeight="1" spans="2:2" x14ac:dyDescent="0.25">
      <c r="B45" s="34" t="s">
        <v>108</v>
      </c>
    </row>
    <row r="46" ht="12" customHeight="1" x14ac:dyDescent="0.25"/>
    <row r="47" ht="6" customHeight="1" x14ac:dyDescent="0.25"/>
    <row r="48" ht="20" customHeight="1" spans="1:2" x14ac:dyDescent="0.25">
      <c r="A48" s="35" t="s">
        <v>12</v>
      </c>
      <c r="B48" s="35"/>
    </row>
    <row r="49" ht="20" customHeight="1" spans="1:2" x14ac:dyDescent="0.25">
      <c r="A49" s="36" t="s">
        <v>13</v>
      </c>
      <c r="B49" s="36"/>
    </row>
  </sheetData>
  <mergeCells count="4">
    <mergeCell ref="A1:B1"/>
    <mergeCell ref="A2:B2"/>
    <mergeCell ref="A48:B48"/>
    <mergeCell ref="A49:B49"/>
  </mergeCells>
  <hyperlinks>
    <hyperlink ref="A4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401k Setup</vt:lpstr>
      <vt:lpstr>Projection Table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401k Calculator</dc:title>
  <dc:subject>Financial Template</dc:subject>
  <dc:description>Free 401k Calculator template by FinancialAha.com</dc:description>
  <cp:keywords>finance, template, spreadsheet, FinancialAha</cp:keywords>
  <cp:category>Finance</cp:category>
  <cp:lastModifiedBy>Unknown</cp:lastModifiedBy>
  <cp:lastPrinted>2026-04-01T17:59:23Z</cp:lastPrinted>
  <dcterms:created xsi:type="dcterms:W3CDTF">2026-04-01T17:59:23Z</dcterms:created>
  <dcterms:modified xsi:type="dcterms:W3CDTF">2026-04-01T17:59:23Z</dcterms:modified>
</cp:coreProperties>
</file>